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2025\OBB\Sucht\Formulare\"/>
    </mc:Choice>
  </mc:AlternateContent>
  <xr:revisionPtr revIDLastSave="0" documentId="13_ncr:1_{790807DB-35A3-454E-8ABD-FD8CEC6C0A05}" xr6:coauthVersionLast="47" xr6:coauthVersionMax="47" xr10:uidLastSave="{00000000-0000-0000-0000-000000000000}"/>
  <bookViews>
    <workbookView xWindow="-120" yWindow="-120" windowWidth="29040" windowHeight="15000" tabRatio="583" xr2:uid="{00000000-000D-0000-FFFF-FFFF00000000}"/>
  </bookViews>
  <sheets>
    <sheet name="Formular Sucht 2025" sheetId="3" r:id="rId1"/>
  </sheets>
  <definedNames>
    <definedName name="_xlnm.Print_Area" localSheetId="0">'Formular Sucht 2025'!$A$1:$S$400</definedName>
  </definedNames>
  <calcPr calcId="191029"/>
</workbook>
</file>

<file path=xl/calcChain.xml><?xml version="1.0" encoding="utf-8"?>
<calcChain xmlns="http://schemas.openxmlformats.org/spreadsheetml/2006/main">
  <c r="E68" i="3" l="1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G57" i="3"/>
  <c r="H59" i="3"/>
  <c r="G59" i="3"/>
  <c r="V32" i="3"/>
  <c r="U32" i="3"/>
  <c r="T32" i="3"/>
  <c r="S32" i="3"/>
  <c r="R32" i="3"/>
  <c r="Q32" i="3"/>
  <c r="V31" i="3"/>
  <c r="U31" i="3"/>
  <c r="T31" i="3"/>
  <c r="S31" i="3"/>
  <c r="R31" i="3"/>
  <c r="Q31" i="3"/>
  <c r="V30" i="3"/>
  <c r="U30" i="3"/>
  <c r="T30" i="3"/>
  <c r="S30" i="3"/>
  <c r="R30" i="3"/>
  <c r="Q30" i="3"/>
  <c r="V29" i="3"/>
  <c r="U29" i="3"/>
  <c r="T29" i="3"/>
  <c r="S29" i="3"/>
  <c r="R29" i="3"/>
  <c r="Q29" i="3"/>
  <c r="V28" i="3"/>
  <c r="U28" i="3"/>
  <c r="T28" i="3"/>
  <c r="S28" i="3"/>
  <c r="R28" i="3"/>
  <c r="Q28" i="3"/>
  <c r="V27" i="3"/>
  <c r="U27" i="3"/>
  <c r="T27" i="3"/>
  <c r="S27" i="3"/>
  <c r="R27" i="3"/>
  <c r="Q27" i="3"/>
  <c r="V26" i="3"/>
  <c r="U26" i="3"/>
  <c r="T26" i="3"/>
  <c r="S26" i="3"/>
  <c r="R26" i="3"/>
  <c r="Q26" i="3"/>
  <c r="V25" i="3"/>
  <c r="U25" i="3"/>
  <c r="T25" i="3"/>
  <c r="S25" i="3"/>
  <c r="R25" i="3"/>
  <c r="Q25" i="3"/>
  <c r="V24" i="3"/>
  <c r="U24" i="3"/>
  <c r="T24" i="3"/>
  <c r="S24" i="3"/>
  <c r="R24" i="3"/>
  <c r="Q24" i="3"/>
  <c r="V23" i="3"/>
  <c r="U23" i="3"/>
  <c r="T23" i="3"/>
  <c r="S23" i="3"/>
  <c r="R23" i="3"/>
  <c r="Q23" i="3"/>
  <c r="V22" i="3"/>
  <c r="V33" i="3" s="1"/>
  <c r="H20" i="3" s="1"/>
  <c r="U22" i="3"/>
  <c r="U33" i="3" s="1"/>
  <c r="M20" i="3" s="1"/>
  <c r="T22" i="3"/>
  <c r="S22" i="3"/>
  <c r="R22" i="3"/>
  <c r="R33" i="3" s="1"/>
  <c r="Q22" i="3"/>
  <c r="Q33" i="3" s="1"/>
  <c r="H56" i="3" l="1"/>
  <c r="H55" i="3"/>
  <c r="H54" i="3"/>
  <c r="H53" i="3"/>
  <c r="H52" i="3"/>
  <c r="H51" i="3"/>
  <c r="K41" i="3"/>
  <c r="D82" i="3" l="1"/>
  <c r="C82" i="3"/>
  <c r="B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7" i="3"/>
  <c r="E66" i="3"/>
  <c r="E65" i="3"/>
  <c r="R202" i="3" l="1"/>
  <c r="R201" i="3"/>
  <c r="R200" i="3"/>
  <c r="R199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76" i="3"/>
  <c r="E171" i="3"/>
  <c r="A96" i="3"/>
  <c r="R205" i="3" l="1"/>
  <c r="K195" i="3" s="1"/>
  <c r="R194" i="3"/>
  <c r="K171" i="3" s="1"/>
  <c r="O38" i="3"/>
  <c r="E82" i="3" s="1"/>
  <c r="E83" i="3" l="1"/>
  <c r="E84" i="3" s="1"/>
  <c r="F66" i="3"/>
  <c r="G79" i="3"/>
  <c r="F74" i="3"/>
  <c r="G71" i="3"/>
  <c r="G66" i="3"/>
  <c r="F69" i="3"/>
  <c r="G74" i="3"/>
  <c r="F80" i="3"/>
  <c r="F67" i="3"/>
  <c r="G67" i="3"/>
  <c r="G75" i="3"/>
  <c r="B83" i="3"/>
  <c r="G70" i="3"/>
  <c r="G78" i="3"/>
  <c r="C83" i="3"/>
  <c r="G69" i="3"/>
  <c r="G77" i="3"/>
  <c r="F75" i="3"/>
  <c r="F68" i="3"/>
  <c r="F76" i="3"/>
  <c r="G68" i="3"/>
  <c r="G76" i="3"/>
  <c r="G80" i="3"/>
  <c r="F78" i="3"/>
  <c r="C84" i="3"/>
  <c r="D83" i="3"/>
  <c r="B84" i="3"/>
  <c r="F77" i="3"/>
  <c r="F82" i="3"/>
  <c r="G82" i="3" s="1"/>
  <c r="F70" i="3"/>
  <c r="F65" i="3"/>
  <c r="F73" i="3"/>
  <c r="F81" i="3"/>
  <c r="F72" i="3"/>
  <c r="G72" i="3"/>
  <c r="G65" i="3"/>
  <c r="G73" i="3"/>
  <c r="F71" i="3"/>
  <c r="F79" i="3"/>
  <c r="O200" i="3"/>
  <c r="O201" i="3"/>
  <c r="O202" i="3"/>
  <c r="O203" i="3"/>
  <c r="O199" i="3"/>
  <c r="O176" i="3"/>
  <c r="O186" i="3"/>
  <c r="O187" i="3"/>
  <c r="O188" i="3"/>
  <c r="O189" i="3"/>
  <c r="O190" i="3"/>
  <c r="O191" i="3"/>
  <c r="O192" i="3"/>
  <c r="O185" i="3"/>
  <c r="O177" i="3"/>
  <c r="O178" i="3"/>
  <c r="O179" i="3"/>
  <c r="O180" i="3"/>
  <c r="O181" i="3"/>
  <c r="O182" i="3"/>
  <c r="O183" i="3"/>
  <c r="K1" i="3" l="1"/>
  <c r="L176" i="3" l="1"/>
  <c r="K176" i="3" l="1"/>
  <c r="I176" i="3"/>
  <c r="S7" i="3"/>
  <c r="S8" i="3"/>
  <c r="S9" i="3"/>
  <c r="S10" i="3"/>
  <c r="S11" i="3"/>
  <c r="S12" i="3"/>
  <c r="S13" i="3"/>
  <c r="S14" i="3"/>
  <c r="S15" i="3"/>
  <c r="S16" i="3"/>
  <c r="S17" i="3"/>
  <c r="R17" i="3"/>
  <c r="Q17" i="3"/>
  <c r="S6" i="3"/>
  <c r="G22" i="3"/>
  <c r="G23" i="3"/>
  <c r="G24" i="3"/>
  <c r="G25" i="3"/>
  <c r="G26" i="3"/>
  <c r="G21" i="3"/>
  <c r="K375" i="3"/>
  <c r="M377" i="3"/>
  <c r="A387" i="3" s="1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S18" i="3" l="1"/>
  <c r="A5" i="3" s="1"/>
  <c r="G27" i="3"/>
  <c r="A20" i="3" s="1"/>
  <c r="M335" i="3"/>
  <c r="F335" i="3" s="1"/>
  <c r="M336" i="3"/>
  <c r="F336" i="3" s="1"/>
  <c r="M337" i="3"/>
  <c r="F337" i="3" s="1"/>
  <c r="M338" i="3"/>
  <c r="F338" i="3" s="1"/>
  <c r="M339" i="3"/>
  <c r="N339" i="3" s="1"/>
  <c r="M340" i="3"/>
  <c r="N340" i="3" s="1"/>
  <c r="M341" i="3"/>
  <c r="N341" i="3" s="1"/>
  <c r="M342" i="3"/>
  <c r="F342" i="3" s="1"/>
  <c r="M343" i="3"/>
  <c r="N343" i="3" s="1"/>
  <c r="M344" i="3"/>
  <c r="F344" i="3" s="1"/>
  <c r="M345" i="3"/>
  <c r="F345" i="3" s="1"/>
  <c r="M346" i="3"/>
  <c r="F346" i="3" s="1"/>
  <c r="M347" i="3"/>
  <c r="N347" i="3" s="1"/>
  <c r="M348" i="3"/>
  <c r="F348" i="3" s="1"/>
  <c r="M349" i="3"/>
  <c r="F349" i="3" s="1"/>
  <c r="N330" i="3"/>
  <c r="P313" i="3" s="1"/>
  <c r="G225" i="3"/>
  <c r="R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41" i="3"/>
  <c r="G237" i="3"/>
  <c r="G238" i="3"/>
  <c r="G239" i="3"/>
  <c r="G236" i="3"/>
  <c r="G226" i="3"/>
  <c r="G227" i="3"/>
  <c r="G228" i="3"/>
  <c r="G229" i="3"/>
  <c r="G230" i="3"/>
  <c r="G231" i="3"/>
  <c r="G232" i="3"/>
  <c r="G233" i="3"/>
  <c r="G234" i="3"/>
  <c r="L200" i="3"/>
  <c r="L201" i="3"/>
  <c r="L202" i="3"/>
  <c r="L199" i="3"/>
  <c r="L186" i="3"/>
  <c r="L187" i="3"/>
  <c r="L188" i="3"/>
  <c r="L189" i="3"/>
  <c r="L190" i="3"/>
  <c r="L191" i="3"/>
  <c r="L185" i="3"/>
  <c r="L177" i="3"/>
  <c r="L178" i="3"/>
  <c r="L179" i="3"/>
  <c r="L180" i="3"/>
  <c r="L181" i="3"/>
  <c r="L182" i="3"/>
  <c r="L183" i="3"/>
  <c r="I142" i="3"/>
  <c r="K142" i="3"/>
  <c r="L142" i="3"/>
  <c r="I143" i="3"/>
  <c r="K143" i="3"/>
  <c r="L143" i="3"/>
  <c r="I144" i="3"/>
  <c r="K144" i="3"/>
  <c r="L144" i="3"/>
  <c r="I145" i="3"/>
  <c r="K145" i="3"/>
  <c r="L145" i="3"/>
  <c r="I146" i="3"/>
  <c r="K146" i="3"/>
  <c r="L146" i="3"/>
  <c r="I147" i="3"/>
  <c r="K147" i="3"/>
  <c r="L147" i="3"/>
  <c r="I148" i="3"/>
  <c r="K148" i="3"/>
  <c r="L148" i="3"/>
  <c r="I149" i="3"/>
  <c r="K149" i="3"/>
  <c r="L149" i="3"/>
  <c r="I150" i="3"/>
  <c r="K150" i="3"/>
  <c r="L150" i="3"/>
  <c r="I151" i="3"/>
  <c r="K151" i="3"/>
  <c r="L151" i="3"/>
  <c r="I152" i="3"/>
  <c r="K152" i="3"/>
  <c r="L152" i="3"/>
  <c r="I153" i="3"/>
  <c r="K153" i="3"/>
  <c r="L153" i="3"/>
  <c r="I154" i="3"/>
  <c r="K154" i="3"/>
  <c r="L154" i="3"/>
  <c r="I155" i="3"/>
  <c r="K155" i="3"/>
  <c r="L155" i="3"/>
  <c r="I156" i="3"/>
  <c r="K156" i="3"/>
  <c r="L156" i="3"/>
  <c r="I157" i="3"/>
  <c r="K157" i="3"/>
  <c r="L157" i="3"/>
  <c r="I158" i="3"/>
  <c r="K158" i="3"/>
  <c r="L158" i="3"/>
  <c r="I159" i="3"/>
  <c r="K159" i="3"/>
  <c r="L159" i="3"/>
  <c r="I160" i="3"/>
  <c r="K160" i="3"/>
  <c r="L160" i="3"/>
  <c r="I161" i="3"/>
  <c r="K161" i="3"/>
  <c r="L161" i="3"/>
  <c r="I162" i="3"/>
  <c r="K162" i="3"/>
  <c r="L162" i="3"/>
  <c r="I163" i="3"/>
  <c r="K163" i="3"/>
  <c r="L163" i="3"/>
  <c r="I164" i="3"/>
  <c r="K164" i="3"/>
  <c r="L164" i="3"/>
  <c r="I165" i="3"/>
  <c r="K165" i="3"/>
  <c r="L165" i="3"/>
  <c r="I166" i="3"/>
  <c r="K166" i="3"/>
  <c r="L166" i="3"/>
  <c r="I167" i="3"/>
  <c r="K167" i="3"/>
  <c r="L167" i="3"/>
  <c r="K141" i="3"/>
  <c r="I141" i="3"/>
  <c r="L141" i="3"/>
  <c r="E102" i="3"/>
  <c r="G90" i="3"/>
  <c r="N337" i="3" l="1"/>
  <c r="G99" i="3"/>
  <c r="A97" i="3"/>
  <c r="K180" i="3"/>
  <c r="I180" i="3"/>
  <c r="I188" i="3"/>
  <c r="K188" i="3"/>
  <c r="I190" i="3"/>
  <c r="K190" i="3"/>
  <c r="I181" i="3"/>
  <c r="K181" i="3"/>
  <c r="I189" i="3"/>
  <c r="K189" i="3"/>
  <c r="I179" i="3"/>
  <c r="K179" i="3"/>
  <c r="K187" i="3"/>
  <c r="I187" i="3"/>
  <c r="I182" i="3"/>
  <c r="K182" i="3"/>
  <c r="I200" i="3"/>
  <c r="K200" i="3"/>
  <c r="I177" i="3"/>
  <c r="K177" i="3"/>
  <c r="K199" i="3"/>
  <c r="I199" i="3"/>
  <c r="K178" i="3"/>
  <c r="I178" i="3"/>
  <c r="I185" i="3"/>
  <c r="K185" i="3"/>
  <c r="I202" i="3"/>
  <c r="K202" i="3"/>
  <c r="I186" i="3"/>
  <c r="K186" i="3"/>
  <c r="I183" i="3"/>
  <c r="K183" i="3"/>
  <c r="I191" i="3"/>
  <c r="K191" i="3"/>
  <c r="I201" i="3"/>
  <c r="K201" i="3"/>
  <c r="M201" i="3" s="1"/>
  <c r="H339" i="3"/>
  <c r="H345" i="3"/>
  <c r="L335" i="3"/>
  <c r="P308" i="3"/>
  <c r="P309" i="3"/>
  <c r="P310" i="3"/>
  <c r="P312" i="3"/>
  <c r="M166" i="3"/>
  <c r="M161" i="3"/>
  <c r="M157" i="3"/>
  <c r="M154" i="3"/>
  <c r="M152" i="3"/>
  <c r="M145" i="3"/>
  <c r="M144" i="3"/>
  <c r="Q170" i="3"/>
  <c r="E137" i="3" s="1"/>
  <c r="R170" i="3"/>
  <c r="K137" i="3" s="1"/>
  <c r="P307" i="3"/>
  <c r="P311" i="3"/>
  <c r="H335" i="3"/>
  <c r="L339" i="3"/>
  <c r="L349" i="3"/>
  <c r="H337" i="3"/>
  <c r="N344" i="3"/>
  <c r="H343" i="3"/>
  <c r="J337" i="3"/>
  <c r="L341" i="3"/>
  <c r="H349" i="3"/>
  <c r="H341" i="3"/>
  <c r="L343" i="3"/>
  <c r="O335" i="3"/>
  <c r="H347" i="3"/>
  <c r="L337" i="3"/>
  <c r="L345" i="3"/>
  <c r="J336" i="3"/>
  <c r="J338" i="3"/>
  <c r="J342" i="3"/>
  <c r="J346" i="3"/>
  <c r="L347" i="3"/>
  <c r="O346" i="3"/>
  <c r="O342" i="3"/>
  <c r="O338" i="3"/>
  <c r="J340" i="3"/>
  <c r="J348" i="3"/>
  <c r="O344" i="3"/>
  <c r="H348" i="3"/>
  <c r="H344" i="3"/>
  <c r="H340" i="3"/>
  <c r="H336" i="3"/>
  <c r="J339" i="3"/>
  <c r="J343" i="3"/>
  <c r="J347" i="3"/>
  <c r="L336" i="3"/>
  <c r="L340" i="3"/>
  <c r="L344" i="3"/>
  <c r="L348" i="3"/>
  <c r="O349" i="3"/>
  <c r="O345" i="3"/>
  <c r="O341" i="3"/>
  <c r="O337" i="3"/>
  <c r="J344" i="3"/>
  <c r="O348" i="3"/>
  <c r="O340" i="3"/>
  <c r="O336" i="3"/>
  <c r="N338" i="3"/>
  <c r="H346" i="3"/>
  <c r="H342" i="3"/>
  <c r="H338" i="3"/>
  <c r="J341" i="3"/>
  <c r="J345" i="3"/>
  <c r="J349" i="3"/>
  <c r="L338" i="3"/>
  <c r="L342" i="3"/>
  <c r="L346" i="3"/>
  <c r="O347" i="3"/>
  <c r="O343" i="3"/>
  <c r="O339" i="3"/>
  <c r="J335" i="3"/>
  <c r="F340" i="3"/>
  <c r="N336" i="3"/>
  <c r="N348" i="3"/>
  <c r="N342" i="3"/>
  <c r="N349" i="3"/>
  <c r="N346" i="3"/>
  <c r="N345" i="3"/>
  <c r="F341" i="3"/>
  <c r="F347" i="3"/>
  <c r="F343" i="3"/>
  <c r="F339" i="3"/>
  <c r="N335" i="3"/>
  <c r="M163" i="3"/>
  <c r="M159" i="3"/>
  <c r="M147" i="3"/>
  <c r="M143" i="3"/>
  <c r="G240" i="3"/>
  <c r="A241" i="3" s="1"/>
  <c r="M142" i="3"/>
  <c r="M182" i="3"/>
  <c r="F102" i="3"/>
  <c r="M141" i="3"/>
  <c r="M165" i="3"/>
  <c r="M153" i="3"/>
  <c r="M149" i="3"/>
  <c r="M176" i="3"/>
  <c r="G100" i="3"/>
  <c r="M151" i="3"/>
  <c r="M146" i="3"/>
  <c r="M178" i="3"/>
  <c r="M155" i="3"/>
  <c r="M167" i="3"/>
  <c r="M164" i="3"/>
  <c r="M156" i="3"/>
  <c r="M160" i="3"/>
  <c r="M150" i="3"/>
  <c r="M148" i="3"/>
  <c r="M162" i="3"/>
  <c r="M158" i="3"/>
  <c r="F101" i="3"/>
  <c r="F100" i="3"/>
  <c r="F99" i="3"/>
  <c r="M202" i="3" l="1"/>
  <c r="M188" i="3"/>
  <c r="M179" i="3"/>
  <c r="M177" i="3"/>
  <c r="M187" i="3"/>
  <c r="M183" i="3"/>
  <c r="M181" i="3"/>
  <c r="M191" i="3"/>
  <c r="M186" i="3"/>
  <c r="M185" i="3"/>
  <c r="M200" i="3"/>
  <c r="M189" i="3"/>
  <c r="M190" i="3"/>
  <c r="M180" i="3"/>
  <c r="M199" i="3"/>
  <c r="O350" i="3"/>
  <c r="A332" i="3" s="1"/>
  <c r="I101" i="3" l="1"/>
  <c r="I100" i="3"/>
  <c r="I99" i="3"/>
  <c r="I98" i="3"/>
  <c r="I97" i="3"/>
  <c r="I81" i="3"/>
  <c r="I83" i="3"/>
  <c r="I80" i="3"/>
  <c r="I77" i="3"/>
  <c r="I78" i="3"/>
  <c r="I79" i="3"/>
  <c r="I82" i="3"/>
  <c r="I84" i="3"/>
  <c r="I85" i="3"/>
  <c r="I86" i="3"/>
  <c r="I87" i="3"/>
  <c r="I88" i="3"/>
  <c r="I89" i="3"/>
  <c r="I96" i="3"/>
  <c r="I95" i="3"/>
  <c r="I94" i="3"/>
  <c r="I93" i="3"/>
  <c r="I92" i="3"/>
  <c r="I91" i="3"/>
  <c r="I90" i="3"/>
  <c r="K376" i="3" l="1"/>
  <c r="K367" i="3"/>
  <c r="K365" i="3"/>
  <c r="K364" i="3"/>
  <c r="K362" i="3"/>
  <c r="K361" i="3"/>
  <c r="K359" i="3"/>
  <c r="K357" i="3"/>
  <c r="O40" i="3"/>
  <c r="M41" i="3"/>
  <c r="E221" i="3"/>
  <c r="N215" i="3" s="1"/>
  <c r="O44" i="3"/>
  <c r="O39" i="3"/>
  <c r="O42" i="3"/>
  <c r="O43" i="3"/>
  <c r="I240" i="3"/>
  <c r="J240" i="3" s="1"/>
  <c r="N127" i="3" l="1"/>
  <c r="F127" i="3"/>
  <c r="F131" i="3"/>
  <c r="N128" i="3"/>
  <c r="N130" i="3"/>
  <c r="N132" i="3"/>
  <c r="N126" i="3"/>
  <c r="F128" i="3"/>
  <c r="F130" i="3"/>
  <c r="F132" i="3"/>
  <c r="F126" i="3"/>
  <c r="N129" i="3"/>
  <c r="N131" i="3"/>
  <c r="F129" i="3"/>
  <c r="F133" i="3"/>
  <c r="K46" i="3"/>
  <c r="K378" i="3"/>
  <c r="K379" i="3" s="1"/>
  <c r="E240" i="3"/>
  <c r="E169" i="3"/>
  <c r="P169" i="3" s="1"/>
  <c r="E193" i="3"/>
  <c r="E94" i="3"/>
  <c r="A86" i="3" s="1"/>
  <c r="M71" i="3"/>
  <c r="M133" i="3"/>
  <c r="N133" i="3" s="1"/>
  <c r="E323" i="3"/>
  <c r="A316" i="3" s="1"/>
  <c r="N273" i="3"/>
  <c r="I261" i="3" s="1"/>
  <c r="E313" i="3"/>
  <c r="A306" i="3" s="1"/>
  <c r="N260" i="3"/>
  <c r="E304" i="3"/>
  <c r="A293" i="3" s="1"/>
  <c r="E291" i="3"/>
  <c r="A286" i="3" s="1"/>
  <c r="G218" i="3"/>
  <c r="G219" i="3"/>
  <c r="G213" i="3"/>
  <c r="P215" i="3"/>
  <c r="G211" i="3"/>
  <c r="G217" i="3"/>
  <c r="G216" i="3"/>
  <c r="G212" i="3"/>
  <c r="G215" i="3"/>
  <c r="P214" i="3"/>
  <c r="P212" i="3"/>
  <c r="P211" i="3"/>
  <c r="P213" i="3"/>
  <c r="G214" i="3"/>
  <c r="G221" i="3"/>
  <c r="G220" i="3"/>
  <c r="M104" i="3"/>
  <c r="I75" i="3" s="1"/>
  <c r="A62" i="3"/>
  <c r="O41" i="3"/>
  <c r="O221" i="3"/>
  <c r="A209" i="3" s="1"/>
  <c r="K355" i="3" l="1"/>
  <c r="K380" i="3" s="1"/>
  <c r="L356" i="3"/>
  <c r="L358" i="3"/>
  <c r="L360" i="3"/>
  <c r="L362" i="3"/>
  <c r="L364" i="3"/>
  <c r="L366" i="3"/>
  <c r="L368" i="3"/>
  <c r="L357" i="3"/>
  <c r="L359" i="3"/>
  <c r="L361" i="3"/>
  <c r="L365" i="3"/>
  <c r="L367" i="3"/>
  <c r="L355" i="3"/>
  <c r="L363" i="3"/>
  <c r="I61" i="3"/>
  <c r="O70" i="3"/>
  <c r="P259" i="3"/>
  <c r="I244" i="3"/>
  <c r="O146" i="3"/>
  <c r="O150" i="3"/>
  <c r="O154" i="3"/>
  <c r="O158" i="3"/>
  <c r="O162" i="3"/>
  <c r="O166" i="3"/>
  <c r="O142" i="3"/>
  <c r="P145" i="3"/>
  <c r="P149" i="3"/>
  <c r="P153" i="3"/>
  <c r="P157" i="3"/>
  <c r="P161" i="3"/>
  <c r="P165" i="3"/>
  <c r="O168" i="3"/>
  <c r="O147" i="3"/>
  <c r="O151" i="3"/>
  <c r="O155" i="3"/>
  <c r="O159" i="3"/>
  <c r="O163" i="3"/>
  <c r="O167" i="3"/>
  <c r="O141" i="3"/>
  <c r="P142" i="3"/>
  <c r="P146" i="3"/>
  <c r="P150" i="3"/>
  <c r="P154" i="3"/>
  <c r="P158" i="3"/>
  <c r="P162" i="3"/>
  <c r="P166" i="3"/>
  <c r="O145" i="3"/>
  <c r="O149" i="3"/>
  <c r="O153" i="3"/>
  <c r="O157" i="3"/>
  <c r="O161" i="3"/>
  <c r="O165" i="3"/>
  <c r="O144" i="3"/>
  <c r="P144" i="3"/>
  <c r="P152" i="3"/>
  <c r="P160" i="3"/>
  <c r="O169" i="3"/>
  <c r="O148" i="3"/>
  <c r="O152" i="3"/>
  <c r="O156" i="3"/>
  <c r="O160" i="3"/>
  <c r="O164" i="3"/>
  <c r="O143" i="3"/>
  <c r="P143" i="3"/>
  <c r="P147" i="3"/>
  <c r="P151" i="3"/>
  <c r="P155" i="3"/>
  <c r="P159" i="3"/>
  <c r="P163" i="3"/>
  <c r="P167" i="3"/>
  <c r="P148" i="3"/>
  <c r="P156" i="3"/>
  <c r="P164" i="3"/>
  <c r="K381" i="3"/>
  <c r="K383" i="3" s="1"/>
  <c r="G297" i="3"/>
  <c r="G301" i="3"/>
  <c r="G299" i="3"/>
  <c r="G303" i="3"/>
  <c r="G296" i="3"/>
  <c r="G298" i="3"/>
  <c r="G295" i="3"/>
  <c r="G302" i="3"/>
  <c r="G300" i="3"/>
  <c r="F318" i="3"/>
  <c r="F311" i="3"/>
  <c r="G312" i="3"/>
  <c r="G288" i="3"/>
  <c r="O273" i="3"/>
  <c r="P272" i="3"/>
  <c r="P270" i="3"/>
  <c r="P269" i="3"/>
  <c r="P253" i="3"/>
  <c r="O265" i="3"/>
  <c r="M121" i="3"/>
  <c r="G120" i="3" s="1"/>
  <c r="E260" i="3"/>
  <c r="A244" i="3" s="1"/>
  <c r="P141" i="3"/>
  <c r="H226" i="3"/>
  <c r="H230" i="3"/>
  <c r="H234" i="3"/>
  <c r="H239" i="3"/>
  <c r="H228" i="3"/>
  <c r="H237" i="3"/>
  <c r="H229" i="3"/>
  <c r="H227" i="3"/>
  <c r="H231" i="3"/>
  <c r="H236" i="3"/>
  <c r="H225" i="3"/>
  <c r="H232" i="3"/>
  <c r="H233" i="3"/>
  <c r="H238" i="3"/>
  <c r="O267" i="3"/>
  <c r="O268" i="3"/>
  <c r="O270" i="3"/>
  <c r="O272" i="3"/>
  <c r="P268" i="3"/>
  <c r="P263" i="3"/>
  <c r="P264" i="3"/>
  <c r="F193" i="3"/>
  <c r="G191" i="3"/>
  <c r="G189" i="3"/>
  <c r="G187" i="3"/>
  <c r="G185" i="3"/>
  <c r="F178" i="3"/>
  <c r="F180" i="3"/>
  <c r="F182" i="3"/>
  <c r="G176" i="3"/>
  <c r="F191" i="3"/>
  <c r="F189" i="3"/>
  <c r="F187" i="3"/>
  <c r="F185" i="3"/>
  <c r="G178" i="3"/>
  <c r="G180" i="3"/>
  <c r="G182" i="3"/>
  <c r="F176" i="3"/>
  <c r="G190" i="3"/>
  <c r="G188" i="3"/>
  <c r="G186" i="3"/>
  <c r="F177" i="3"/>
  <c r="F179" i="3"/>
  <c r="F181" i="3"/>
  <c r="F183" i="3"/>
  <c r="F192" i="3"/>
  <c r="F190" i="3"/>
  <c r="F188" i="3"/>
  <c r="F186" i="3"/>
  <c r="G177" i="3"/>
  <c r="G179" i="3"/>
  <c r="G181" i="3"/>
  <c r="G183" i="3"/>
  <c r="P266" i="3"/>
  <c r="O266" i="3"/>
  <c r="F169" i="3"/>
  <c r="P267" i="3"/>
  <c r="O263" i="3"/>
  <c r="F141" i="3"/>
  <c r="G141" i="3"/>
  <c r="O271" i="3"/>
  <c r="O269" i="3"/>
  <c r="P265" i="3"/>
  <c r="P271" i="3"/>
  <c r="O264" i="3"/>
  <c r="O127" i="3"/>
  <c r="O129" i="3"/>
  <c r="G128" i="3"/>
  <c r="G126" i="3"/>
  <c r="O126" i="3"/>
  <c r="O132" i="3"/>
  <c r="G131" i="3"/>
  <c r="O128" i="3"/>
  <c r="G132" i="3"/>
  <c r="O130" i="3"/>
  <c r="G130" i="3"/>
  <c r="G127" i="3"/>
  <c r="O131" i="3"/>
  <c r="G133" i="3"/>
  <c r="G129" i="3"/>
  <c r="G143" i="3"/>
  <c r="G147" i="3"/>
  <c r="G151" i="3"/>
  <c r="G155" i="3"/>
  <c r="G159" i="3"/>
  <c r="G163" i="3"/>
  <c r="G167" i="3"/>
  <c r="F145" i="3"/>
  <c r="F149" i="3"/>
  <c r="F153" i="3"/>
  <c r="F157" i="3"/>
  <c r="F161" i="3"/>
  <c r="F165" i="3"/>
  <c r="G145" i="3"/>
  <c r="G149" i="3"/>
  <c r="G153" i="3"/>
  <c r="G157" i="3"/>
  <c r="G161" i="3"/>
  <c r="G165" i="3"/>
  <c r="F143" i="3"/>
  <c r="F147" i="3"/>
  <c r="F151" i="3"/>
  <c r="F155" i="3"/>
  <c r="F159" i="3"/>
  <c r="F163" i="3"/>
  <c r="F167" i="3"/>
  <c r="G150" i="3"/>
  <c r="G158" i="3"/>
  <c r="G166" i="3"/>
  <c r="F148" i="3"/>
  <c r="F156" i="3"/>
  <c r="F164" i="3"/>
  <c r="G144" i="3"/>
  <c r="G148" i="3"/>
  <c r="G152" i="3"/>
  <c r="G156" i="3"/>
  <c r="G160" i="3"/>
  <c r="G164" i="3"/>
  <c r="F142" i="3"/>
  <c r="F146" i="3"/>
  <c r="F150" i="3"/>
  <c r="F154" i="3"/>
  <c r="F158" i="3"/>
  <c r="F162" i="3"/>
  <c r="F166" i="3"/>
  <c r="G142" i="3"/>
  <c r="G146" i="3"/>
  <c r="G154" i="3"/>
  <c r="G162" i="3"/>
  <c r="F144" i="3"/>
  <c r="F152" i="3"/>
  <c r="F160" i="3"/>
  <c r="F168" i="3"/>
  <c r="O66" i="3"/>
  <c r="O63" i="3"/>
  <c r="N66" i="3"/>
  <c r="N70" i="3"/>
  <c r="N71" i="3"/>
  <c r="O67" i="3"/>
  <c r="N63" i="3"/>
  <c r="N67" i="3"/>
  <c r="O64" i="3"/>
  <c r="O68" i="3"/>
  <c r="N64" i="3"/>
  <c r="N68" i="3"/>
  <c r="N69" i="3"/>
  <c r="O65" i="3"/>
  <c r="N65" i="3"/>
  <c r="O69" i="3"/>
  <c r="N77" i="3"/>
  <c r="N104" i="3"/>
  <c r="O104" i="3" s="1"/>
  <c r="F320" i="3"/>
  <c r="G91" i="3"/>
  <c r="F89" i="3"/>
  <c r="F88" i="3"/>
  <c r="G89" i="3"/>
  <c r="F93" i="3"/>
  <c r="G88" i="3"/>
  <c r="F92" i="3"/>
  <c r="G92" i="3"/>
  <c r="F91" i="3"/>
  <c r="F94" i="3"/>
  <c r="F90" i="3"/>
  <c r="F319" i="3"/>
  <c r="F323" i="3"/>
  <c r="F322" i="3"/>
  <c r="F321" i="3"/>
  <c r="G309" i="3"/>
  <c r="O97" i="3"/>
  <c r="N98" i="3"/>
  <c r="O98" i="3"/>
  <c r="N97" i="3"/>
  <c r="G311" i="3"/>
  <c r="P251" i="3"/>
  <c r="F313" i="3"/>
  <c r="F310" i="3"/>
  <c r="O254" i="3"/>
  <c r="F309" i="3"/>
  <c r="G289" i="3"/>
  <c r="F304" i="3"/>
  <c r="F299" i="3"/>
  <c r="F308" i="3"/>
  <c r="F295" i="3"/>
  <c r="F298" i="3"/>
  <c r="O247" i="3"/>
  <c r="O257" i="3"/>
  <c r="O253" i="3"/>
  <c r="K382" i="3"/>
  <c r="K384" i="3" s="1"/>
  <c r="G308" i="3"/>
  <c r="O248" i="3"/>
  <c r="O256" i="3"/>
  <c r="P254" i="3"/>
  <c r="P258" i="3"/>
  <c r="O258" i="3"/>
  <c r="P252" i="3"/>
  <c r="P247" i="3"/>
  <c r="F302" i="3"/>
  <c r="F300" i="3"/>
  <c r="F289" i="3"/>
  <c r="F297" i="3"/>
  <c r="G310" i="3"/>
  <c r="F312" i="3"/>
  <c r="F303" i="3"/>
  <c r="F301" i="3"/>
  <c r="F290" i="3"/>
  <c r="P256" i="3"/>
  <c r="O246" i="3"/>
  <c r="P250" i="3"/>
  <c r="P257" i="3"/>
  <c r="O259" i="3"/>
  <c r="O249" i="3"/>
  <c r="F296" i="3"/>
  <c r="P248" i="3"/>
  <c r="O255" i="3"/>
  <c r="O252" i="3"/>
  <c r="P246" i="3"/>
  <c r="P249" i="3"/>
  <c r="O251" i="3"/>
  <c r="O260" i="3"/>
  <c r="P255" i="3"/>
  <c r="O250" i="3"/>
  <c r="F291" i="3"/>
  <c r="F288" i="3"/>
  <c r="F219" i="3"/>
  <c r="F240" i="3"/>
  <c r="F217" i="3"/>
  <c r="F214" i="3"/>
  <c r="P218" i="3"/>
  <c r="P220" i="3"/>
  <c r="O213" i="3"/>
  <c r="O212" i="3"/>
  <c r="F212" i="3"/>
  <c r="O211" i="3"/>
  <c r="F211" i="3"/>
  <c r="P219" i="3"/>
  <c r="O214" i="3"/>
  <c r="F216" i="3"/>
  <c r="F215" i="3"/>
  <c r="O215" i="3"/>
  <c r="F220" i="3"/>
  <c r="F218" i="3"/>
  <c r="P221" i="3"/>
  <c r="F237" i="3"/>
  <c r="F221" i="3"/>
  <c r="F213" i="3"/>
  <c r="N235" i="3"/>
  <c r="N283" i="3"/>
  <c r="E273" i="3"/>
  <c r="A261" i="3" s="1"/>
  <c r="N93" i="3"/>
  <c r="O100" i="3"/>
  <c r="N94" i="3"/>
  <c r="O94" i="3"/>
  <c r="N78" i="3"/>
  <c r="N82" i="3"/>
  <c r="N103" i="3"/>
  <c r="O87" i="3"/>
  <c r="O77" i="3"/>
  <c r="N91" i="3"/>
  <c r="O84" i="3"/>
  <c r="N85" i="3"/>
  <c r="O86" i="3"/>
  <c r="O82" i="3"/>
  <c r="O95" i="3"/>
  <c r="N96" i="3"/>
  <c r="N100" i="3"/>
  <c r="O93" i="3"/>
  <c r="N89" i="3"/>
  <c r="N83" i="3"/>
  <c r="N92" i="3"/>
  <c r="N101" i="3"/>
  <c r="N81" i="3"/>
  <c r="N87" i="3"/>
  <c r="O80" i="3"/>
  <c r="N84" i="3"/>
  <c r="O92" i="3"/>
  <c r="O102" i="3"/>
  <c r="N86" i="3"/>
  <c r="N80" i="3"/>
  <c r="O90" i="3"/>
  <c r="O79" i="3"/>
  <c r="N79" i="3"/>
  <c r="O89" i="3"/>
  <c r="O91" i="3"/>
  <c r="O83" i="3"/>
  <c r="N95" i="3"/>
  <c r="O85" i="3"/>
  <c r="O88" i="3"/>
  <c r="N90" i="3"/>
  <c r="O96" i="3"/>
  <c r="O78" i="3"/>
  <c r="O81" i="3"/>
  <c r="O101" i="3"/>
  <c r="O99" i="3"/>
  <c r="N99" i="3"/>
  <c r="N102" i="3"/>
  <c r="N88" i="3"/>
  <c r="A107" i="3" l="1"/>
  <c r="N118" i="3"/>
  <c r="F109" i="3"/>
  <c r="O109" i="3"/>
  <c r="O114" i="3"/>
  <c r="P170" i="3"/>
  <c r="A137" i="3" s="1"/>
  <c r="G114" i="3"/>
  <c r="N113" i="3"/>
  <c r="P228" i="3"/>
  <c r="P232" i="3"/>
  <c r="P229" i="3"/>
  <c r="P233" i="3"/>
  <c r="P226" i="3"/>
  <c r="P230" i="3"/>
  <c r="P225" i="3"/>
  <c r="P227" i="3"/>
  <c r="P231" i="3"/>
  <c r="P234" i="3"/>
  <c r="O115" i="3"/>
  <c r="N111" i="3"/>
  <c r="G113" i="3"/>
  <c r="N116" i="3"/>
  <c r="G119" i="3"/>
  <c r="O117" i="3"/>
  <c r="G111" i="3"/>
  <c r="G117" i="3"/>
  <c r="P282" i="3"/>
  <c r="G281" i="3"/>
  <c r="P280" i="3"/>
  <c r="P281" i="3"/>
  <c r="P279" i="3"/>
  <c r="P278" i="3"/>
  <c r="G278" i="3"/>
  <c r="G279" i="3"/>
  <c r="G280" i="3"/>
  <c r="G116" i="3"/>
  <c r="N110" i="3"/>
  <c r="N119" i="3"/>
  <c r="N109" i="3"/>
  <c r="O112" i="3"/>
  <c r="G272" i="3"/>
  <c r="N120" i="3"/>
  <c r="O111" i="3"/>
  <c r="N114" i="3"/>
  <c r="G110" i="3"/>
  <c r="G112" i="3"/>
  <c r="G115" i="3"/>
  <c r="O110" i="3"/>
  <c r="G109" i="3"/>
  <c r="O116" i="3"/>
  <c r="N112" i="3"/>
  <c r="O119" i="3"/>
  <c r="G118" i="3"/>
  <c r="O113" i="3"/>
  <c r="N115" i="3"/>
  <c r="O118" i="3"/>
  <c r="N117" i="3"/>
  <c r="G259" i="3"/>
  <c r="H240" i="3"/>
  <c r="A223" i="3" s="1"/>
  <c r="O133" i="3"/>
  <c r="A124" i="3" s="1"/>
  <c r="O282" i="3"/>
  <c r="O278" i="3"/>
  <c r="O279" i="3"/>
  <c r="O281" i="3"/>
  <c r="O280" i="3"/>
  <c r="F279" i="3"/>
  <c r="F281" i="3"/>
  <c r="F278" i="3"/>
  <c r="P277" i="3"/>
  <c r="O283" i="3"/>
  <c r="F280" i="3"/>
  <c r="F239" i="3"/>
  <c r="O235" i="3"/>
  <c r="F227" i="3"/>
  <c r="F234" i="3"/>
  <c r="F229" i="3"/>
  <c r="F230" i="3"/>
  <c r="F231" i="3"/>
  <c r="O227" i="3"/>
  <c r="O233" i="3"/>
  <c r="O226" i="3"/>
  <c r="F233" i="3"/>
  <c r="F226" i="3"/>
  <c r="F238" i="3"/>
  <c r="O228" i="3"/>
  <c r="F228" i="3"/>
  <c r="P237" i="3"/>
  <c r="F232" i="3"/>
  <c r="P236" i="3"/>
  <c r="P238" i="3"/>
  <c r="O225" i="3"/>
  <c r="F225" i="3"/>
  <c r="O234" i="3"/>
  <c r="O229" i="3"/>
  <c r="O231" i="3"/>
  <c r="F236" i="3"/>
  <c r="O230" i="3"/>
  <c r="O232" i="3"/>
  <c r="G269" i="3"/>
  <c r="G265" i="3"/>
  <c r="F267" i="3"/>
  <c r="G270" i="3"/>
  <c r="F270" i="3"/>
  <c r="F263" i="3"/>
  <c r="G271" i="3"/>
  <c r="F268" i="3"/>
  <c r="F272" i="3"/>
  <c r="F264" i="3"/>
  <c r="G266" i="3"/>
  <c r="F273" i="3"/>
  <c r="F266" i="3"/>
  <c r="G263" i="3"/>
  <c r="F265" i="3"/>
  <c r="G268" i="3"/>
  <c r="F271" i="3"/>
  <c r="F269" i="3"/>
  <c r="G267" i="3"/>
  <c r="G264" i="3"/>
  <c r="F114" i="3"/>
  <c r="F117" i="3"/>
  <c r="N121" i="3"/>
  <c r="F120" i="3"/>
  <c r="F119" i="3"/>
  <c r="F116" i="3"/>
  <c r="F118" i="3"/>
  <c r="F113" i="3"/>
  <c r="F111" i="3"/>
  <c r="F115" i="3"/>
  <c r="F112" i="3"/>
  <c r="F110" i="3"/>
  <c r="G258" i="3"/>
  <c r="F260" i="3"/>
  <c r="G257" i="3"/>
  <c r="G247" i="3"/>
  <c r="G250" i="3"/>
  <c r="G249" i="3"/>
  <c r="G252" i="3"/>
  <c r="G256" i="3"/>
  <c r="G251" i="3"/>
  <c r="G248" i="3"/>
  <c r="G254" i="3"/>
  <c r="G246" i="3"/>
  <c r="G255" i="3"/>
  <c r="G253" i="3"/>
  <c r="P321" i="3"/>
  <c r="O307" i="3"/>
  <c r="P320" i="3"/>
  <c r="O314" i="3"/>
  <c r="O327" i="3"/>
  <c r="O323" i="3"/>
  <c r="P292" i="3"/>
  <c r="P319" i="3"/>
  <c r="O298" i="3"/>
  <c r="O303" i="3"/>
  <c r="O320" i="3"/>
  <c r="P289" i="3"/>
  <c r="O325" i="3"/>
  <c r="P304" i="3"/>
  <c r="O310" i="3"/>
  <c r="O288" i="3"/>
  <c r="P322" i="3"/>
  <c r="P324" i="3"/>
  <c r="P290" i="3"/>
  <c r="P325" i="3"/>
  <c r="O302" i="3"/>
  <c r="O296" i="3"/>
  <c r="O322" i="3"/>
  <c r="P295" i="3"/>
  <c r="P305" i="3"/>
  <c r="O293" i="3"/>
  <c r="P314" i="3"/>
  <c r="O300" i="3"/>
  <c r="P293" i="3"/>
  <c r="P302" i="3"/>
  <c r="O318" i="3"/>
  <c r="P315" i="3"/>
  <c r="O292" i="3"/>
  <c r="O316" i="3"/>
  <c r="O294" i="3"/>
  <c r="O328" i="3"/>
  <c r="P299" i="3"/>
  <c r="O306" i="3"/>
  <c r="O326" i="3"/>
  <c r="O329" i="3"/>
  <c r="O315" i="3"/>
  <c r="P301" i="3"/>
  <c r="O330" i="3"/>
  <c r="O308" i="3"/>
  <c r="O317" i="3"/>
  <c r="P329" i="3"/>
  <c r="P303" i="3"/>
  <c r="P294" i="3"/>
  <c r="O290" i="3"/>
  <c r="P327" i="3"/>
  <c r="O312" i="3"/>
  <c r="O304" i="3"/>
  <c r="P297" i="3"/>
  <c r="O311" i="3"/>
  <c r="O289" i="3"/>
  <c r="O295" i="3"/>
  <c r="P326" i="3"/>
  <c r="O313" i="3"/>
  <c r="O309" i="3"/>
  <c r="O297" i="3"/>
  <c r="P318" i="3"/>
  <c r="O324" i="3"/>
  <c r="O301" i="3"/>
  <c r="P316" i="3"/>
  <c r="O291" i="3"/>
  <c r="P296" i="3"/>
  <c r="P323" i="3"/>
  <c r="P317" i="3"/>
  <c r="O321" i="3"/>
  <c r="P306" i="3"/>
  <c r="P300" i="3"/>
  <c r="P288" i="3"/>
  <c r="O299" i="3"/>
  <c r="P291" i="3"/>
  <c r="O305" i="3"/>
  <c r="P298" i="3"/>
  <c r="P328" i="3"/>
  <c r="O319" i="3"/>
  <c r="P283" i="3" l="1"/>
  <c r="A275" i="3" s="1"/>
  <c r="P235" i="3"/>
  <c r="I223" i="3" s="1"/>
  <c r="P330" i="3"/>
  <c r="I286" i="3" s="1"/>
  <c r="G1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gsda</author>
    <author>strobl</author>
    <author>Mike Strobl</author>
    <author>Mike</author>
  </authors>
  <commentList>
    <comment ref="G57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Die dunkelgrün markierten Zellen enthalten eine Summenformel. Diese dürfen nur dann mit einem Eintrag überschrieben werden, wenn in den (optionalen) hellgrünen Zellen (E 51 bis E 53) keine differenzierten Einträge vorgenommen werden
</t>
        </r>
      </text>
    </comment>
    <comment ref="M121" authorId="1" shapeId="0" xr:uid="{00000000-0006-0000-0000-000002000000}">
      <text>
        <r>
          <rPr>
            <sz val="8"/>
            <color indexed="81"/>
            <rFont val="Tahoma"/>
            <family val="2"/>
          </rPr>
          <t>= Zelle OP 41</t>
        </r>
      </text>
    </comment>
    <comment ref="M133" authorId="1" shapeId="0" xr:uid="{00000000-0006-0000-0000-000003000000}">
      <text>
        <r>
          <rPr>
            <sz val="8"/>
            <color indexed="81"/>
            <rFont val="Tahoma"/>
            <family val="2"/>
          </rPr>
          <t>= Zelle KL 41</t>
        </r>
      </text>
    </comment>
    <comment ref="E169" authorId="1" shapeId="0" xr:uid="{00000000-0006-0000-0000-000004000000}">
      <text>
        <r>
          <rPr>
            <sz val="8"/>
            <color indexed="81"/>
            <rFont val="Tahoma"/>
            <family val="2"/>
          </rPr>
          <t>= Zelle KL 41</t>
        </r>
      </text>
    </comment>
    <comment ref="O221" authorId="2" shapeId="0" xr:uid="{00000000-0006-0000-0000-000005000000}">
      <text>
        <r>
          <rPr>
            <sz val="8"/>
            <color indexed="81"/>
            <rFont val="Tahoma"/>
            <family val="2"/>
          </rPr>
          <t>= Zelle KL 41</t>
        </r>
      </text>
    </comment>
    <comment ref="N235" authorId="1" shapeId="0" xr:uid="{00000000-0006-0000-0000-000006000000}">
      <text>
        <r>
          <rPr>
            <sz val="8"/>
            <color indexed="81"/>
            <rFont val="Tahoma"/>
            <family val="2"/>
          </rPr>
          <t>= Zelle OP 41</t>
        </r>
      </text>
    </comment>
    <comment ref="E240" authorId="2" shapeId="0" xr:uid="{00000000-0006-0000-0000-000007000000}">
      <text>
        <r>
          <rPr>
            <sz val="8"/>
            <color indexed="81"/>
            <rFont val="Tahoma"/>
            <family val="2"/>
          </rPr>
          <t>= Zelle KL 41</t>
        </r>
      </text>
    </comment>
    <comment ref="K355" authorId="3" shapeId="0" xr:uid="{00000000-0006-0000-0000-000008000000}">
      <text>
        <r>
          <rPr>
            <sz val="8"/>
            <color indexed="81"/>
            <rFont val="Tahoma"/>
            <family val="2"/>
          </rPr>
          <t>automatische Berechnung: 2 Stunden pro Woche und Ist-Vollzeitmitarbeiter/in   (in 41 Arbeitswochen)</t>
        </r>
      </text>
    </comment>
  </commentList>
</comments>
</file>

<file path=xl/sharedStrings.xml><?xml version="1.0" encoding="utf-8"?>
<sst xmlns="http://schemas.openxmlformats.org/spreadsheetml/2006/main" count="738" uniqueCount="450">
  <si>
    <t>Name der Beratungsstelle</t>
  </si>
  <si>
    <t>Träger</t>
  </si>
  <si>
    <t>Spitzenverband</t>
  </si>
  <si>
    <t>Landkreis / Stadt</t>
  </si>
  <si>
    <t>Name</t>
  </si>
  <si>
    <t>Funktion</t>
  </si>
  <si>
    <t>Sonstige</t>
  </si>
  <si>
    <t>Tabak</t>
  </si>
  <si>
    <t>Alkohol</t>
  </si>
  <si>
    <t>Medikamente</t>
  </si>
  <si>
    <t>Illegale Drogen</t>
  </si>
  <si>
    <t>Substitution</t>
  </si>
  <si>
    <t>Spielen</t>
  </si>
  <si>
    <t xml:space="preserve">Essen </t>
  </si>
  <si>
    <t>Chronisch mehrfach beeinträchtigte abhängige Menschen</t>
  </si>
  <si>
    <t>Anzahl</t>
  </si>
  <si>
    <t>Gesamt</t>
  </si>
  <si>
    <t>Prozent</t>
  </si>
  <si>
    <t>Einmal-Kontakte</t>
  </si>
  <si>
    <t>2 bis 5 Kontakte</t>
  </si>
  <si>
    <t>6 bis 10 Kontakte</t>
  </si>
  <si>
    <t xml:space="preserve">ab 11 Kontakte </t>
  </si>
  <si>
    <t>Unter 1 Monat</t>
  </si>
  <si>
    <t>Nationalität</t>
  </si>
  <si>
    <t>Frauen</t>
  </si>
  <si>
    <t>Männer</t>
  </si>
  <si>
    <t>Art der Beendigung</t>
  </si>
  <si>
    <t>Weitervermittlung</t>
  </si>
  <si>
    <t>Verstorben</t>
  </si>
  <si>
    <t>Ohne Wohnung</t>
  </si>
  <si>
    <t>Ort</t>
  </si>
  <si>
    <t>Fax</t>
  </si>
  <si>
    <t>e-mail</t>
  </si>
  <si>
    <t>Telefon</t>
  </si>
  <si>
    <t>Strasse</t>
  </si>
  <si>
    <t>PLZ</t>
  </si>
  <si>
    <t xml:space="preserve">Gesamt </t>
  </si>
  <si>
    <t xml:space="preserve">F63 Pathologisches Glücksspiel </t>
  </si>
  <si>
    <t xml:space="preserve">von       </t>
  </si>
  <si>
    <t>Wohnort</t>
  </si>
  <si>
    <t xml:space="preserve">1. Allgemeine Angaben zur Beratungsstelle  </t>
  </si>
  <si>
    <t>Einwohnerzahl der Versorgungsregion</t>
  </si>
  <si>
    <t>Dokumentationszeitraum (bitte ggf. korrigieren)</t>
  </si>
  <si>
    <t>1 = sehr wichtig</t>
  </si>
  <si>
    <t>3 = weniger von Bedeutung</t>
  </si>
  <si>
    <t>Problematik</t>
  </si>
  <si>
    <t>0 = Zielgruppe wird nicht angesprochen</t>
  </si>
  <si>
    <t>2 = mittlere Bedeutung</t>
  </si>
  <si>
    <t>Geschlecht</t>
  </si>
  <si>
    <t>valide</t>
  </si>
  <si>
    <t xml:space="preserve">F50 Essstörungen </t>
  </si>
  <si>
    <t xml:space="preserve">F10 Alkohol </t>
  </si>
  <si>
    <t>F11 Opioide</t>
  </si>
  <si>
    <t xml:space="preserve">F12 Cannabis </t>
  </si>
  <si>
    <t xml:space="preserve">F13 Sedativa / Hypnotika </t>
  </si>
  <si>
    <t>F14 Kokain</t>
  </si>
  <si>
    <t xml:space="preserve">F16 Halluzinogene </t>
  </si>
  <si>
    <t xml:space="preserve">F17 Tabak </t>
  </si>
  <si>
    <t>F15 Stimulanzien (inkl.Koffein, Ecstasy)</t>
  </si>
  <si>
    <t xml:space="preserve">F18 Flüchtige Lösungsmittel </t>
  </si>
  <si>
    <t>bis</t>
  </si>
  <si>
    <t>keine Angaben</t>
  </si>
  <si>
    <t xml:space="preserve">2. Verantwortlicher Ansprechpartner für Dokumentation/Statistik </t>
  </si>
  <si>
    <t>Vorname</t>
  </si>
  <si>
    <t>Stunden</t>
  </si>
  <si>
    <t>Faktor</t>
  </si>
  <si>
    <t>Gründe für die Sollstundenzahlreduzierung:</t>
  </si>
  <si>
    <t>mit eigener Suchtproblematik</t>
  </si>
  <si>
    <t xml:space="preserve">* liegt für eine Person im Erhebungszeitraum mehr als 1 dokumentierter Kerndatensatz vor, darf nur der letzte (=aktuellste) gezählt werden </t>
  </si>
  <si>
    <t>Alter</t>
  </si>
  <si>
    <t>Deutsch</t>
  </si>
  <si>
    <t>Türkisch</t>
  </si>
  <si>
    <r>
      <t xml:space="preserve">Dokumentationszeitraum </t>
    </r>
    <r>
      <rPr>
        <i/>
        <sz val="8"/>
        <color indexed="12"/>
        <rFont val="Arial"/>
        <family val="2"/>
      </rPr>
      <t>(bitte ggf. korrigieren)</t>
    </r>
  </si>
  <si>
    <t>Keine / Selbstmelder</t>
  </si>
  <si>
    <t>Kosten- / Leistungsträger</t>
  </si>
  <si>
    <t>Auszubildender</t>
  </si>
  <si>
    <t>Arbeiter / Angestellter / Beamte</t>
  </si>
  <si>
    <t>Selbständiger / Freiberufler</t>
  </si>
  <si>
    <t>Arbeitslos nach SGB III (Bezug von ALG I)</t>
  </si>
  <si>
    <t>Arbeitslos nach SGB II (Bezug von ALG II)</t>
  </si>
  <si>
    <t>Schüler / Student</t>
  </si>
  <si>
    <t xml:space="preserve">Hausfrau / Hausmann  </t>
  </si>
  <si>
    <t>Rentner / Pensionär</t>
  </si>
  <si>
    <t>Sonstige Nichterwerbspersonen (z.B. SGB XII)</t>
  </si>
  <si>
    <t>Ambulant Betreutes Wohnen</t>
  </si>
  <si>
    <r>
      <t>Anzahl der</t>
    </r>
    <r>
      <rPr>
        <b/>
        <sz val="9"/>
        <rFont val="Arial"/>
        <family val="2"/>
      </rPr>
      <t xml:space="preserve"> Einmalkontakte ohne</t>
    </r>
    <r>
      <rPr>
        <sz val="9"/>
        <rFont val="Arial"/>
        <family val="2"/>
      </rPr>
      <t xml:space="preserve"> dokumentierten Kerndatensatz (z.B. Clearingkontakte)</t>
    </r>
  </si>
  <si>
    <t>1 bis unter 3 Monate</t>
  </si>
  <si>
    <t>3 bis unter 6 Monate</t>
  </si>
  <si>
    <t>6 bis unter 12 Monate</t>
  </si>
  <si>
    <t>12 Monate und mehr</t>
  </si>
  <si>
    <t>* nur wahrgenommene klientenbezogene Kontakte</t>
  </si>
  <si>
    <t>Erwerbssituation am Ende</t>
  </si>
  <si>
    <t>Wohnsituation zu Beginn</t>
  </si>
  <si>
    <t>Wohnsituation am Ende</t>
  </si>
  <si>
    <t>Erwerbssituation zu Beginn</t>
  </si>
  <si>
    <t>3. Beratung</t>
  </si>
  <si>
    <t>5. Vermittlung</t>
  </si>
  <si>
    <t>7. Betreuung und Begleitung</t>
  </si>
  <si>
    <t>8. Unsystematische Betreuung</t>
  </si>
  <si>
    <t>10. Krisenintervention / Akuthilfe</t>
  </si>
  <si>
    <t>ja</t>
  </si>
  <si>
    <t>nein</t>
  </si>
  <si>
    <t>Dauer der Betreuung in Monaten *</t>
  </si>
  <si>
    <t>* nur für beendete Betreuungen</t>
  </si>
  <si>
    <r>
      <t>Ambulante Rehabilitation</t>
    </r>
    <r>
      <rPr>
        <sz val="8"/>
        <rFont val="Arial"/>
        <family val="2"/>
      </rPr>
      <t xml:space="preserve"> </t>
    </r>
    <r>
      <rPr>
        <sz val="8"/>
        <color indexed="12"/>
        <rFont val="Arial"/>
        <family val="2"/>
      </rPr>
      <t xml:space="preserve">(bitte </t>
    </r>
    <r>
      <rPr>
        <u/>
        <sz val="8"/>
        <color indexed="12"/>
        <rFont val="Arial"/>
        <family val="2"/>
      </rPr>
      <t>nur die vom bezirksbezuschussten</t>
    </r>
    <r>
      <rPr>
        <sz val="8"/>
        <color indexed="12"/>
        <rFont val="Arial"/>
        <family val="2"/>
      </rPr>
      <t xml:space="preserve"> Personal tatsächlich erbrachten Stunden eintragen)</t>
    </r>
  </si>
  <si>
    <t>1. Clearing / Kurzberatung</t>
  </si>
  <si>
    <t>Sonstige Anmerkungen:</t>
  </si>
  <si>
    <t>Differenz Soll - Ist   (in Stunden)</t>
  </si>
  <si>
    <t>13. klientenbezogene Vernetzung</t>
  </si>
  <si>
    <r>
      <t xml:space="preserve">** </t>
    </r>
    <r>
      <rPr>
        <b/>
        <i/>
        <sz val="8"/>
        <color indexed="12"/>
        <rFont val="Arial"/>
        <family val="2"/>
      </rPr>
      <t xml:space="preserve">inklusive </t>
    </r>
    <r>
      <rPr>
        <i/>
        <sz val="8"/>
        <color indexed="12"/>
        <rFont val="Arial"/>
        <family val="2"/>
      </rPr>
      <t xml:space="preserve">mit Kerndatensatz dokumentierte </t>
    </r>
    <r>
      <rPr>
        <b/>
        <i/>
        <sz val="8"/>
        <color indexed="12"/>
        <rFont val="Arial"/>
        <family val="2"/>
      </rPr>
      <t>Einmalkontakte</t>
    </r>
  </si>
  <si>
    <r>
      <t xml:space="preserve">Anzahl der am Jahresende </t>
    </r>
    <r>
      <rPr>
        <b/>
        <sz val="9"/>
        <rFont val="Arial"/>
        <family val="2"/>
      </rPr>
      <t xml:space="preserve">noch nicht beendeten Betreuungen </t>
    </r>
    <r>
      <rPr>
        <sz val="9"/>
        <rFont val="Arial"/>
        <family val="2"/>
      </rPr>
      <t>(mit dokumentiertem Kerndatensatz) **</t>
    </r>
  </si>
  <si>
    <r>
      <t xml:space="preserve">Anzahl der im Erhebungsjahr </t>
    </r>
    <r>
      <rPr>
        <b/>
        <sz val="9"/>
        <rFont val="Arial"/>
        <family val="2"/>
      </rPr>
      <t>beendeten Betreuungen</t>
    </r>
    <r>
      <rPr>
        <sz val="9"/>
        <rFont val="Arial"/>
        <family val="2"/>
      </rPr>
      <t xml:space="preserve"> (mit dokumentiertem Kerndatensatz) **</t>
    </r>
  </si>
  <si>
    <r>
      <t xml:space="preserve">Gesamtzahl der Betreuungen im Erhebungsjahr </t>
    </r>
    <r>
      <rPr>
        <sz val="9"/>
        <rFont val="Arial"/>
        <family val="2"/>
      </rPr>
      <t>(mit dokumentiertem Kerndatensatz) **</t>
    </r>
  </si>
  <si>
    <r>
      <t xml:space="preserve">davon Anzahl der </t>
    </r>
    <r>
      <rPr>
        <b/>
        <sz val="9"/>
        <rFont val="Arial"/>
        <family val="2"/>
      </rPr>
      <t>psychosozialen Begleitbetreuungen</t>
    </r>
    <r>
      <rPr>
        <sz val="9"/>
        <rFont val="Arial"/>
        <family val="2"/>
      </rPr>
      <t xml:space="preserve"> von substituierten opiatabhängigen Klienten **</t>
    </r>
  </si>
  <si>
    <t>keine ICD-10-Diagnose</t>
  </si>
  <si>
    <t>*  nur für beendete Betreungen mit Weitervermittlung (Mehrfachnennungen möglich)</t>
  </si>
  <si>
    <r>
      <t>Ambulante Rehabilitation</t>
    </r>
    <r>
      <rPr>
        <sz val="8"/>
        <rFont val="Arial"/>
        <family val="2"/>
      </rPr>
      <t xml:space="preserve"> </t>
    </r>
    <r>
      <rPr>
        <sz val="8"/>
        <color indexed="12"/>
        <rFont val="Arial"/>
        <family val="2"/>
      </rPr>
      <t xml:space="preserve">(bitte </t>
    </r>
    <r>
      <rPr>
        <u/>
        <sz val="8"/>
        <color indexed="12"/>
        <rFont val="Arial"/>
        <family val="2"/>
      </rPr>
      <t>nur die vom nicht bezirksbezuschussten</t>
    </r>
    <r>
      <rPr>
        <sz val="8"/>
        <color indexed="12"/>
        <rFont val="Arial"/>
        <family val="2"/>
      </rPr>
      <t xml:space="preserve"> Personal tatsächlich erbrachten Stunden eintragen)</t>
    </r>
  </si>
  <si>
    <t>Wenn Migrationshintergrund, Beratungssprache</t>
  </si>
  <si>
    <t>Migrationshintergrund</t>
  </si>
  <si>
    <t>ja, selbst migriert</t>
  </si>
  <si>
    <t>ja, als Kind von Migranten geboren</t>
  </si>
  <si>
    <t>Beratung in deutscher Sprache möglich</t>
  </si>
  <si>
    <t>Beratung in deutscher Sprache nicht möglich</t>
  </si>
  <si>
    <t>gesamt</t>
  </si>
  <si>
    <t>pro Vollzeitfachkraft</t>
  </si>
  <si>
    <t>Gesamt suchtbezogene Hauptdiagnosen</t>
  </si>
  <si>
    <t>Weitere (psychische) Störungen (ICD-10-Diagnosen)</t>
  </si>
  <si>
    <t>Gewichtung *</t>
  </si>
  <si>
    <t>* Code:</t>
  </si>
  <si>
    <r>
      <t>3. Zielgruppe</t>
    </r>
    <r>
      <rPr>
        <i/>
        <sz val="8"/>
        <color indexed="12"/>
        <rFont val="Arial"/>
        <family val="2"/>
      </rPr>
      <t xml:space="preserve"> (bitte in jeder Zeile einen Kodierung (0 bis 3) vornehmen</t>
    </r>
  </si>
  <si>
    <t>Menschen mit sonstigen Beeinträchtigungen/ Behinderungen</t>
  </si>
  <si>
    <t>Gesamt substanzbezogene Hauptdiagnosen</t>
  </si>
  <si>
    <t>Art der Vermittlung (1)</t>
  </si>
  <si>
    <t>Art der Vermittlung (2)</t>
  </si>
  <si>
    <t>Weitervermittlung in / zu *</t>
  </si>
  <si>
    <t>Sollstundenzahl nach Reduzierung</t>
  </si>
  <si>
    <r>
      <t xml:space="preserve">Sollstundenreduzierung </t>
    </r>
    <r>
      <rPr>
        <sz val="8"/>
        <color indexed="12"/>
        <rFont val="Arial"/>
        <family val="2"/>
      </rPr>
      <t>(bitte rechts die Anzahl der Stunden und unten die Gründe eintragen )</t>
    </r>
  </si>
  <si>
    <t>Sollstellenzahl nach Reduzierung</t>
  </si>
  <si>
    <t>Stellen</t>
  </si>
  <si>
    <t>Differenz Soll - Ist   (in Stellen)</t>
  </si>
  <si>
    <t>Differenz Soll - Ist   (in Prozent der Stunden)</t>
  </si>
  <si>
    <r>
      <t>7. Vermittlung der Klienten an die Beratungsstelle</t>
    </r>
    <r>
      <rPr>
        <b/>
        <sz val="10"/>
        <rFont val="Arial"/>
        <family val="2"/>
      </rPr>
      <t xml:space="preserve"> </t>
    </r>
    <r>
      <rPr>
        <i/>
        <sz val="8"/>
        <color indexed="12"/>
        <rFont val="Arial"/>
        <family val="2"/>
      </rPr>
      <t xml:space="preserve">(Basis: alle Betreuungen im Erhebungszeitraum) </t>
    </r>
  </si>
  <si>
    <r>
      <t xml:space="preserve">Anzahl der </t>
    </r>
    <r>
      <rPr>
        <b/>
        <sz val="9"/>
        <rFont val="Arial"/>
        <family val="2"/>
      </rPr>
      <t>Betreuungen mit mehr als einem Kontakt ohne</t>
    </r>
    <r>
      <rPr>
        <sz val="9"/>
        <rFont val="Arial"/>
        <family val="2"/>
      </rPr>
      <t xml:space="preserve"> dokumentierten Kerndatensatz ***</t>
    </r>
  </si>
  <si>
    <t>** Hierbei handelt es sich nicht um eine eigene Leistungsart sondern um eine additive - also zusätzlich anzugebende - Komponente für (eine) extern erbrachte Leistung(en )</t>
  </si>
  <si>
    <r>
      <t xml:space="preserve">11. </t>
    </r>
    <r>
      <rPr>
        <i/>
        <sz val="9"/>
        <rFont val="Arial"/>
        <family val="2"/>
      </rPr>
      <t>Aufschlag für aufsuchende Tätigkeit **</t>
    </r>
  </si>
  <si>
    <t>Leistungen *</t>
  </si>
  <si>
    <r>
      <t xml:space="preserve">*** Klienten, die </t>
    </r>
    <r>
      <rPr>
        <b/>
        <i/>
        <sz val="8"/>
        <color indexed="12"/>
        <rFont val="Arial"/>
        <family val="2"/>
      </rPr>
      <t xml:space="preserve">kein Einverständnis </t>
    </r>
    <r>
      <rPr>
        <i/>
        <sz val="8"/>
        <color indexed="12"/>
        <rFont val="Arial"/>
        <family val="2"/>
      </rPr>
      <t>zur Dokumentation ihrer Daten erklärt haben</t>
    </r>
  </si>
  <si>
    <r>
      <t xml:space="preserve">12. Fallbesprechung </t>
    </r>
    <r>
      <rPr>
        <i/>
        <sz val="8"/>
        <color indexed="12"/>
        <rFont val="Arial"/>
        <family val="2"/>
      </rPr>
      <t>(Berechnung: 2 Stunden pro Woche für jede/n an der Fallbesprechung teilnehmende/n Mitarbeiter/in)</t>
    </r>
  </si>
  <si>
    <r>
      <t xml:space="preserve">F0:  </t>
    </r>
    <r>
      <rPr>
        <sz val="8"/>
        <rFont val="Arial"/>
        <family val="2"/>
      </rPr>
      <t xml:space="preserve"> Organische, einschl. symptomatische psychische Störungen</t>
    </r>
  </si>
  <si>
    <r>
      <t xml:space="preserve">F2:  </t>
    </r>
    <r>
      <rPr>
        <sz val="8"/>
        <rFont val="Arial"/>
        <family val="2"/>
      </rPr>
      <t xml:space="preserve"> Schizophrenie, schizotype und wahnhafte Störungen</t>
    </r>
  </si>
  <si>
    <r>
      <t xml:space="preserve">F3:   </t>
    </r>
    <r>
      <rPr>
        <sz val="8"/>
        <rFont val="Arial"/>
        <family val="2"/>
      </rPr>
      <t xml:space="preserve">Affektive Störungen </t>
    </r>
  </si>
  <si>
    <r>
      <t xml:space="preserve">F4:  </t>
    </r>
    <r>
      <rPr>
        <sz val="8"/>
        <rFont val="Arial"/>
        <family val="2"/>
      </rPr>
      <t xml:space="preserve"> Neurotische, Belastungs- und somatoforme Störungen</t>
    </r>
  </si>
  <si>
    <r>
      <t xml:space="preserve">F5:  </t>
    </r>
    <r>
      <rPr>
        <sz val="8"/>
        <rFont val="Arial"/>
        <family val="2"/>
      </rPr>
      <t xml:space="preserve"> Verhaltensauffälligkeiten mit körperl. Störungen/Faktoren *</t>
    </r>
  </si>
  <si>
    <r>
      <t xml:space="preserve">F6:   </t>
    </r>
    <r>
      <rPr>
        <sz val="8"/>
        <rFont val="Arial"/>
        <family val="2"/>
      </rPr>
      <t>Persönlichkeits- und Verhaltensstörungen **</t>
    </r>
  </si>
  <si>
    <r>
      <t xml:space="preserve">G0 - G9:  </t>
    </r>
    <r>
      <rPr>
        <sz val="8"/>
        <rFont val="Arial"/>
        <family val="2"/>
      </rPr>
      <t>Krankheiten des Nervensystems</t>
    </r>
  </si>
  <si>
    <r>
      <t xml:space="preserve">A - E und H - Z:  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Andere Diagnosen</t>
    </r>
  </si>
  <si>
    <t>→</t>
  </si>
  <si>
    <t xml:space="preserve">* Bitte für 1. bis 13. nur solche Leistungen erfassen, die vom bezirksbezussten Personal erbracht werden </t>
  </si>
  <si>
    <r>
      <t xml:space="preserve">4. Spezifische Einzelinterventionen  </t>
    </r>
    <r>
      <rPr>
        <i/>
        <sz val="8"/>
        <color indexed="12"/>
        <rFont val="Arial"/>
        <family val="2"/>
      </rPr>
      <t>(bitte die Summe der tatsächlich erbrachten Stunden aller Mitarbeiter/innen eintragen ***)</t>
    </r>
  </si>
  <si>
    <r>
      <t xml:space="preserve">6. Indikative Gruppen </t>
    </r>
    <r>
      <rPr>
        <i/>
        <sz val="8"/>
        <color indexed="12"/>
        <rFont val="Arial"/>
        <family val="2"/>
      </rPr>
      <t>(bitte die Summe der tatsächlich erbrachten Stunden aller Mitarbeiter/innen eintragen ***)</t>
    </r>
  </si>
  <si>
    <r>
      <t>9. Psychosoziale Begleitung von Substituierten</t>
    </r>
    <r>
      <rPr>
        <i/>
        <sz val="8"/>
        <color indexed="12"/>
        <rFont val="Arial"/>
        <family val="2"/>
      </rPr>
      <t xml:space="preserve"> (bitte die Summe der tatsächlich erbrachten Stunden aller MA eintragen ***)</t>
    </r>
  </si>
  <si>
    <t>*** Bei der Addition bitte nur Zeitwerte von mindestens 0,25 Stundeneinheiten (Viertelstunden) berücksichtigen</t>
  </si>
  <si>
    <t>Personen im sozialen Umfeld</t>
  </si>
  <si>
    <t xml:space="preserve">4. Klienten und Betreuungen im Erhebungsjahr </t>
  </si>
  <si>
    <t>Spezifizierung der Klientel im Erhebungsjahr</t>
  </si>
  <si>
    <t>5. Klientenbezogene Kontakte im Erhebungsjahr (inklusive Angehörige)</t>
  </si>
  <si>
    <t>Soll-Stellenzahl laut Zielvereinbarung</t>
  </si>
  <si>
    <t>Soll-Stundenzahl laut Zielvereinbarung</t>
  </si>
  <si>
    <t>Ist-Stundenzahl laut Auswertung</t>
  </si>
  <si>
    <t>Ist-Stellenzahl laut Auswertung</t>
  </si>
  <si>
    <t>Sonstige Staaten</t>
  </si>
  <si>
    <t>nur in 3. Generation von Migration betroffen</t>
  </si>
  <si>
    <t>Balkanstaaten *</t>
  </si>
  <si>
    <t>*  Serbien, Kosovo, Mazedonien, Bosnien-Herzegowina, Montenegro. Albanien</t>
  </si>
  <si>
    <t xml:space="preserve">    Kasachstan, Usbekistan, Turkmenistan, Kirgisistan, Tadschikistan</t>
  </si>
  <si>
    <t>(Ehemalige) GUS-Staaten **</t>
  </si>
  <si>
    <t xml:space="preserve">** Russland, Weißrussland, Moldawien, Ukraine, Georgien, Armenien, Aserbeidschan, </t>
  </si>
  <si>
    <t>Staatenlos</t>
  </si>
  <si>
    <t>Soziales Umfeld</t>
  </si>
  <si>
    <t>Selbsthilfe</t>
  </si>
  <si>
    <t>Arbeitgeber / Betrieb / Schule</t>
  </si>
  <si>
    <t xml:space="preserve">Ärztliche Praxis </t>
  </si>
  <si>
    <t>Psychotherapeutische Praxis</t>
  </si>
  <si>
    <t>Allgemeines Krankenhaus</t>
  </si>
  <si>
    <t>Einrichtung der Akutbehandlung</t>
  </si>
  <si>
    <t>Psychiatrisches Krankenhaus</t>
  </si>
  <si>
    <t>Ambulante Suchthilfeeinrichtung</t>
  </si>
  <si>
    <t>Soziotherapeutische Einrichtung</t>
  </si>
  <si>
    <t>Schuldnerberatung</t>
  </si>
  <si>
    <t>Einrichtung der Jugendhilfe</t>
  </si>
  <si>
    <t>Jugendamt</t>
  </si>
  <si>
    <t>Einrichtung der Altenhilfe</t>
  </si>
  <si>
    <t>Wohnungslosenhilfe</t>
  </si>
  <si>
    <t>Agentur für Arbeit / Jobcenter</t>
  </si>
  <si>
    <t>Polizei / Justiz / Bewährungshilfe</t>
  </si>
  <si>
    <t>Einrichtung im Präventionssektor</t>
  </si>
  <si>
    <t>Sonstige Einrichtung / Institution</t>
  </si>
  <si>
    <t>% valide</t>
  </si>
  <si>
    <t>F50.x  Essstörungen</t>
  </si>
  <si>
    <t>F63.0  Pathologisches Glücksspiel</t>
  </si>
  <si>
    <t>F63.8 / F68.8  Exzessiver Medienkonsum</t>
  </si>
  <si>
    <t>F55.x  Nicht abhängigkeitserzeugende Substanzen</t>
  </si>
  <si>
    <t xml:space="preserve">  - aktuell und früher kein Diagnosekriterium erfüllt</t>
  </si>
  <si>
    <t xml:space="preserve">  - aktuell kein Diagnosekriterium erfüllt, aber frühere Diagnose</t>
  </si>
  <si>
    <t>keine suchtbezogene Hauptdiagnose</t>
  </si>
  <si>
    <t xml:space="preserve">  - sonstige Gründe</t>
  </si>
  <si>
    <t>Heroin</t>
  </si>
  <si>
    <t>Methadon</t>
  </si>
  <si>
    <t>Buprenorphin</t>
  </si>
  <si>
    <t>Fentanyl</t>
  </si>
  <si>
    <t>Andere opiathaltige Mittel / Opioide</t>
  </si>
  <si>
    <t>Cannabis</t>
  </si>
  <si>
    <t>Andere / synthetische Cannabinoide</t>
  </si>
  <si>
    <t>Barbiturate</t>
  </si>
  <si>
    <t>Benzodiazepine</t>
  </si>
  <si>
    <t>GHB / GBL</t>
  </si>
  <si>
    <t>Andere Sedativa / Hypnotika</t>
  </si>
  <si>
    <t>Kokain</t>
  </si>
  <si>
    <t>Crack</t>
  </si>
  <si>
    <t>Amphetamine</t>
  </si>
  <si>
    <t>Methamphetamine (Crystal)</t>
  </si>
  <si>
    <t>MDMA und andere verwandte Substanzen (Ecstasy)</t>
  </si>
  <si>
    <t>Synthetische Cathinone</t>
  </si>
  <si>
    <t>Andere Stimulanzien</t>
  </si>
  <si>
    <t>LSD</t>
  </si>
  <si>
    <t>Mescalin</t>
  </si>
  <si>
    <t>Ketamin</t>
  </si>
  <si>
    <t>Andere Halluzinogene</t>
  </si>
  <si>
    <t>Flüchtige Lösungsmittel</t>
  </si>
  <si>
    <t>Andere psychotrope Substanzen</t>
  </si>
  <si>
    <t>keine Nennung irgendeiner Substanz</t>
  </si>
  <si>
    <t>terrestrisch</t>
  </si>
  <si>
    <t>Online / Internet</t>
  </si>
  <si>
    <t>Gamen</t>
  </si>
  <si>
    <t>Chatten</t>
  </si>
  <si>
    <t>Surfen</t>
  </si>
  <si>
    <t>Sonstiges</t>
  </si>
  <si>
    <t>keine Nennung irgendeiner Spielform</t>
  </si>
  <si>
    <t>Psychotrope Substanzen *</t>
  </si>
  <si>
    <t>* Mehrfachnennungen möglich, % valide bezogen auf Klienten mit irgendeiner Nennung</t>
  </si>
  <si>
    <t>Automatenspiel (Geld-/Glücksspielautomaten)</t>
  </si>
  <si>
    <t>Geldspielautomaten in Spielhallen</t>
  </si>
  <si>
    <t>Geldspielautomaten in der Gastronomie</t>
  </si>
  <si>
    <t>Kleines Spiel in der Spielbank</t>
  </si>
  <si>
    <t>Großes Spiel in der Spielbank</t>
  </si>
  <si>
    <t>Sportwetten</t>
  </si>
  <si>
    <t>Pferdewetten</t>
  </si>
  <si>
    <t>Lotterien</t>
  </si>
  <si>
    <t>Andere</t>
  </si>
  <si>
    <t>Poker</t>
  </si>
  <si>
    <t>Casinospiele (großes Spiel d. Spielbank ohne Poker)</t>
  </si>
  <si>
    <t>kein Konsum</t>
  </si>
  <si>
    <t>Lifetime-Nennungen</t>
  </si>
  <si>
    <t>Glücksspiel*</t>
  </si>
  <si>
    <t>Exzessive Mediennutzung*</t>
  </si>
  <si>
    <t>F19 Andere psychotrope Substanzen / Polytoxikomanie</t>
  </si>
  <si>
    <t>Substanzbezogene Hauptdiagnosen nach ICD-10</t>
  </si>
  <si>
    <t>Sonstige suchtbezogene Hauptdiagnosen nach ICD-10</t>
  </si>
  <si>
    <t>Substanzbezogene Einzeldiagnosen nach ICD-10</t>
  </si>
  <si>
    <t>Sonstige suchtbezogene Einzeldiagnosen nach ICD-10</t>
  </si>
  <si>
    <t>Gesamt suchtbezogene Einzeldiagnosen</t>
  </si>
  <si>
    <t xml:space="preserve">In Elternzeit, im (längerfristigen) Krankenstand </t>
  </si>
  <si>
    <t>Hausfrau / Hausmann</t>
  </si>
  <si>
    <t>Sonstige Nichterwerbspersonen mit Bezug  von SGB XII-Leistungen</t>
  </si>
  <si>
    <t>Sonstige Nichterwerbspersonen ohne Bezug  von SGB XII-Leistungen</t>
  </si>
  <si>
    <t>Sonstige Nichterwerbspersonen mit Bezug von SGB XII-Leistungen</t>
  </si>
  <si>
    <t>Sonstige Nichterwerbspersonen ohne Bezug von SGB XII-Leistungen</t>
  </si>
  <si>
    <t>Bei anderen Personen</t>
  </si>
  <si>
    <t>(Fach)-Klinik, stationäre Rehabilitationseinrichtung</t>
  </si>
  <si>
    <t>Wohnheim / Übergangswohnheim</t>
  </si>
  <si>
    <t>JVA, Maßregelvollzug, Sicherheitsverwahrung</t>
  </si>
  <si>
    <t>Notunterkunft, Übernachtungsstelle</t>
  </si>
  <si>
    <t>PF – Prävention und Frühintervention</t>
  </si>
  <si>
    <t>APB – Ambulante psychotherapeutische Akutbehandlung</t>
  </si>
  <si>
    <t>AKH – Stationäre somatische Akutbehandlung</t>
  </si>
  <si>
    <t xml:space="preserve">PIA – Ambulante psychiatrische Akutbehandlung </t>
  </si>
  <si>
    <t>PKH – Stationäre psychiatrische Akutbehandlung</t>
  </si>
  <si>
    <t>Beratung und Betreuung</t>
  </si>
  <si>
    <t xml:space="preserve">NIH – Niederschwellige Hilfen </t>
  </si>
  <si>
    <t>SBS – Sucht- und Drogenberatung</t>
  </si>
  <si>
    <t>PSB – Psychosoziale Begleitung Substituierter</t>
  </si>
  <si>
    <t>SPB – Sozialpsychiatrische Betreuung</t>
  </si>
  <si>
    <t>JH – Kinder- und Jugendhilfe (SGBVIII)</t>
  </si>
  <si>
    <t>BS – Suchtberatung im Betrieb</t>
  </si>
  <si>
    <t>AOB – Arbeitsmarktorientierte Beratung</t>
  </si>
  <si>
    <t>ABP – Beschäftigung</t>
  </si>
  <si>
    <t>QUA – Qualifizierung</t>
  </si>
  <si>
    <t>AFD – Arbeitsförderung</t>
  </si>
  <si>
    <t>BRH – Berufliche Rehabilitation</t>
  </si>
  <si>
    <t>BBM – Beschäftigung für behinderte Menschen</t>
  </si>
  <si>
    <t>Suchtbehandlung</t>
  </si>
  <si>
    <t>ENT – Entgiftung</t>
  </si>
  <si>
    <t>QEN – Qualifizierter Entzug</t>
  </si>
  <si>
    <t>MED – Medikamentöse Rückfallprophylaxe</t>
  </si>
  <si>
    <t>SUB – Ambulante Substitution</t>
  </si>
  <si>
    <t>ARS – Ambulante medizinische Rehabilitation</t>
  </si>
  <si>
    <t>TAR – Ganztägig ambulante Rehabilitation</t>
  </si>
  <si>
    <t>STR – Stationäre medizinische Rehabilitation</t>
  </si>
  <si>
    <t>ADA – Adaption</t>
  </si>
  <si>
    <t>KOM – Kombinationsbehandlung (abgeschlossen)</t>
  </si>
  <si>
    <t>NAS – (Reha-)Nachsorge</t>
  </si>
  <si>
    <t>AEF – Ambulante Entlassform</t>
  </si>
  <si>
    <t>GEF – Ganztägig ambulante Entlassform</t>
  </si>
  <si>
    <t>WAB – Wechsel in die Ambulante Behandlungsform</t>
  </si>
  <si>
    <t>ABW – Ambulant betreutes Wohnen</t>
  </si>
  <si>
    <t>SOZ – Stationäres sozialtherapeutisches Wohnen</t>
  </si>
  <si>
    <t>ÜEW – Übergangswohnen</t>
  </si>
  <si>
    <t>TSM – Tagesstrukturierende Maßnahmen</t>
  </si>
  <si>
    <t>MVJ – Medizinische Versorgung im Justizvollzug</t>
  </si>
  <si>
    <t>SBJ – Suchtberatung im Justizvollzug</t>
  </si>
  <si>
    <t>ENH – Eingliederung nach Haft</t>
  </si>
  <si>
    <t>ALT – Ambulante und stationäre Altenhilfe</t>
  </si>
  <si>
    <t>HPF – Hilfen für Pflegebedürftige</t>
  </si>
  <si>
    <t>* Mehrfachnennungen möglich</t>
  </si>
  <si>
    <t>Regulär nach Beratung / Behandlungsplan</t>
  </si>
  <si>
    <t>Vorzeitig auf ärztliche / therapeutische Veranlassung</t>
  </si>
  <si>
    <t>Vorzeitig mit ärztlichem / therapeutischem Einverständnis</t>
  </si>
  <si>
    <t>Disziplinarisch</t>
  </si>
  <si>
    <t>Abbruch durch Klient</t>
  </si>
  <si>
    <t>Planmäßiger Wechsel in andere Betreuungsform</t>
  </si>
  <si>
    <t>Außerplanmäßiger Wechsel in andere Einrichtung</t>
  </si>
  <si>
    <r>
      <t xml:space="preserve">Anzahl der Kontakte </t>
    </r>
    <r>
      <rPr>
        <sz val="9"/>
        <rFont val="Arial"/>
        <family val="2"/>
      </rPr>
      <t>(während der gesamten Betreuung) *</t>
    </r>
  </si>
  <si>
    <t>PSA – Stat. psychotherap./-somatische Akutbehandlung</t>
  </si>
  <si>
    <t>SBM – Suchtbehandlung im Maßregelvollzug (§64 StGB)</t>
  </si>
  <si>
    <t>Suchtmittel / Substanzkonsum / Suchtverhalten</t>
  </si>
  <si>
    <t>Körperliche/s Gesundheit / Befinden</t>
  </si>
  <si>
    <t>Psychische Gesundheit / Seelischer Zustand</t>
  </si>
  <si>
    <t>Weiteres soziales Umfeld</t>
  </si>
  <si>
    <t>Schul- / Ausbildungs- /Arbeits- / Beschäftigungssituation</t>
  </si>
  <si>
    <t>Freizeit(bereich)</t>
  </si>
  <si>
    <t>Alltagsstrukturierung / Tagesstruktur</t>
  </si>
  <si>
    <t>Finanzielle Situation</t>
  </si>
  <si>
    <t>Wohnsituation</t>
  </si>
  <si>
    <t>Rechtliche Situation</t>
  </si>
  <si>
    <t>Fahreignung</t>
  </si>
  <si>
    <t xml:space="preserve">Sexuelle Gewalterfahrungen </t>
  </si>
  <si>
    <t>Andere Gewalterfahrungen</t>
  </si>
  <si>
    <t>Gewaltausübung</t>
  </si>
  <si>
    <t>Problembereiche (1)</t>
  </si>
  <si>
    <t>Problembereiche (2)</t>
  </si>
  <si>
    <r>
      <t>8. Problemlagen</t>
    </r>
    <r>
      <rPr>
        <b/>
        <sz val="10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(Basis: Alle Betreuungen von Klienten mit eigener Suchtsymptomatik, Mehrfachnennungen möglich)</t>
    </r>
  </si>
  <si>
    <r>
      <t xml:space="preserve">9. Konsum von Substanzen, Spielformen, Exzessive Mediennutzung </t>
    </r>
    <r>
      <rPr>
        <b/>
        <sz val="10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(Basis: Alle Betreuungen von Klienten mit eigener Suchtsymptomatik, Mehrfachnennungen möglich)</t>
    </r>
  </si>
  <si>
    <t>** bei Konsumtagen Zeilenprozent</t>
  </si>
  <si>
    <t>Konsumtage in den letzten 30 Tagen vor Betreuungsbeginn **</t>
  </si>
  <si>
    <t>Spieltage in den letzten 30 Tagen vor Betreuungsbeginn **</t>
  </si>
  <si>
    <t>** bei Spieltagen Zeilenprozent</t>
  </si>
  <si>
    <t>** bei Nutzungstagen Zeilenprozent</t>
  </si>
  <si>
    <r>
      <t xml:space="preserve">10. Diagnosen nach ICD 10 </t>
    </r>
    <r>
      <rPr>
        <i/>
        <sz val="8"/>
        <color indexed="12"/>
        <rFont val="Arial"/>
        <family val="2"/>
      </rPr>
      <t>(Basis: alle Betreuungen von Klienten mit eigener Suchtsymptomatik, bei weiteren (psychischen) Störungen: alle Betreuungen, Mehrfachnennungen möglich)</t>
    </r>
  </si>
  <si>
    <t>Familiäre Situation (Partner / Eltern / Kinder)</t>
  </si>
  <si>
    <r>
      <t>Selbständiges Wohnen</t>
    </r>
    <r>
      <rPr>
        <sz val="8"/>
        <rFont val="Arial"/>
        <family val="2"/>
      </rPr>
      <t xml:space="preserve"> (eigene / gemietete Wohnung / Haus)  </t>
    </r>
  </si>
  <si>
    <t>ASA – Ambulante somatische Akutbehandlung</t>
  </si>
  <si>
    <t>Exzessive Mediennutzung</t>
  </si>
  <si>
    <t>Schwaben</t>
  </si>
  <si>
    <t>Oberbayern</t>
  </si>
  <si>
    <t>Niederbayern</t>
  </si>
  <si>
    <t>Oberpfalz</t>
  </si>
  <si>
    <t>Oberfranken</t>
  </si>
  <si>
    <t>Mittelfranken</t>
  </si>
  <si>
    <t>Unterfranken</t>
  </si>
  <si>
    <t>gebessert</t>
  </si>
  <si>
    <t>gleich geblieben</t>
  </si>
  <si>
    <t>verschlechtert</t>
  </si>
  <si>
    <t>neu aufgetreten</t>
  </si>
  <si>
    <t>keine Nutzung</t>
  </si>
  <si>
    <t>Nutzung (1 - 30 Tage)</t>
  </si>
  <si>
    <t>kein Spielen</t>
  </si>
  <si>
    <t>Spielen (1 - 30 Tage)</t>
  </si>
  <si>
    <t>Exzessive Nutzungstage in den letzten 30 Tagen vor Betreuungsbeginn **</t>
  </si>
  <si>
    <t>Konsum (1 - 30 Tage)</t>
  </si>
  <si>
    <t>13. Exemplarische Leistungen (Stundenkontingente)</t>
  </si>
  <si>
    <t>Durch die eigene Einrichtung durchgeführte Maßnahmen *</t>
  </si>
  <si>
    <t>Standardisierter Sachbericht für die Suchtberatungsstellen im Bezirk</t>
  </si>
  <si>
    <t>bis 14 Jahre</t>
  </si>
  <si>
    <t>15 - 17 Jahre</t>
  </si>
  <si>
    <t>18 - 19 Jahre</t>
  </si>
  <si>
    <t>20 - 24 Jahre</t>
  </si>
  <si>
    <t>25 - 29 Jahre</t>
  </si>
  <si>
    <t>30 - 34 Jahre</t>
  </si>
  <si>
    <t>35 - 39 Jahre</t>
  </si>
  <si>
    <t>40 - 44 Jahre</t>
  </si>
  <si>
    <t>45 - 49 Jahre</t>
  </si>
  <si>
    <t>50 - 54 Jahre</t>
  </si>
  <si>
    <t>55 - 59 Jahre</t>
  </si>
  <si>
    <t>60 - 64 Jahre</t>
  </si>
  <si>
    <t>65 - 69 Jahre</t>
  </si>
  <si>
    <t>70 - 74 Jahre</t>
  </si>
  <si>
    <t>75 - 79 Jahre</t>
  </si>
  <si>
    <t>80 Jahre und älter</t>
  </si>
  <si>
    <t>Restl. EU-Staaten + Island, Norwegen, Schweiz</t>
  </si>
  <si>
    <t>o. Angabe</t>
  </si>
  <si>
    <r>
      <t>Stationäre Suchthilfeeinrichtung</t>
    </r>
    <r>
      <rPr>
        <sz val="8"/>
        <rFont val="Arial"/>
        <family val="2"/>
      </rPr>
      <t xml:space="preserve"> (Rehabilitation, Adaption)</t>
    </r>
  </si>
  <si>
    <r>
      <t xml:space="preserve">Anderer Beratungsdienst </t>
    </r>
    <r>
      <rPr>
        <sz val="8"/>
        <rFont val="Arial"/>
        <family val="2"/>
      </rPr>
      <t>(z.B. Ehe / Familie / SPDI)</t>
    </r>
  </si>
  <si>
    <r>
      <t xml:space="preserve">Neue psychoaktive Substanzen NPS </t>
    </r>
    <r>
      <rPr>
        <sz val="8"/>
        <rFont val="Arial"/>
        <family val="2"/>
      </rPr>
      <t>(andere als oben genannt)</t>
    </r>
  </si>
  <si>
    <t>* ohne die gültige Kategorie "ohne Angabe"</t>
  </si>
  <si>
    <t>% valide *</t>
  </si>
  <si>
    <t>außerhalb des Versorgungsgebiets (=Bezirk)</t>
  </si>
  <si>
    <t xml:space="preserve"> * Prozentwert in Spalte F bezogen auf alle KlientInnen, in Spalte G auf selbst migrierte KlientInnen</t>
  </si>
  <si>
    <t>Hauptsubstanz</t>
  </si>
  <si>
    <t>Polyvalenter Konsum</t>
  </si>
  <si>
    <t>Polyvalente Spielform</t>
  </si>
  <si>
    <t>Hauptspielform</t>
  </si>
  <si>
    <t>Polyvalente Nutzung</t>
  </si>
  <si>
    <t>keine Nennung irgendeiner exzessiven Nutzung</t>
  </si>
  <si>
    <t>Hauptnutzungsform</t>
  </si>
  <si>
    <r>
      <t>12. Stand bei Betreuungsende</t>
    </r>
    <r>
      <rPr>
        <b/>
        <sz val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color indexed="12"/>
        <rFont val="Arial"/>
        <family val="2"/>
      </rPr>
      <t>(Basis: Alle beendeten Betreuungen, bei der Beurteilung nur beendete Betreuungen mit eigener Suchtproblematik)</t>
    </r>
  </si>
  <si>
    <t>Prozent **</t>
  </si>
  <si>
    <r>
      <t xml:space="preserve">Stundenkontigent pro Vollzeitstelle </t>
    </r>
    <r>
      <rPr>
        <sz val="8"/>
        <rFont val="Arial"/>
        <family val="2"/>
      </rPr>
      <t>(70% für direkte Leistungen)</t>
    </r>
  </si>
  <si>
    <t>bei einer Wochenarbeitszeit von</t>
  </si>
  <si>
    <t>entspricht</t>
  </si>
  <si>
    <t>% valide ***</t>
  </si>
  <si>
    <t>% valide*</t>
  </si>
  <si>
    <t>% valide **</t>
  </si>
  <si>
    <t>**  in Bezug auf alle Klienten mit eigener Suchtsymptomatik</t>
  </si>
  <si>
    <t>*  in Bezug auf Klienten mit suchtbezogener Hauptdiagnose</t>
  </si>
  <si>
    <r>
      <t>11. Verlauf</t>
    </r>
    <r>
      <rPr>
        <b/>
        <sz val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color indexed="12"/>
        <rFont val="Arial"/>
        <family val="2"/>
      </rPr>
      <t>(Basis: Tabellen mit Bezug "zu Beginn" und "im Verlauf": Alle Betreuungen - vgl. Zelle OP 41, Tabellen mit Bezug "am Ende": alle beendeten Betreuungen - vgl. Zelle OP 40)</t>
    </r>
  </si>
  <si>
    <r>
      <t xml:space="preserve">F7 - F9:  </t>
    </r>
    <r>
      <rPr>
        <sz val="8"/>
        <rFont val="Arial"/>
        <family val="2"/>
      </rPr>
      <t xml:space="preserve"> Intelligenzminderung, Entwicklungsstörungen und ... ***</t>
    </r>
  </si>
  <si>
    <t>** ohne F63.0 (Pathologisches Spielen) und ohne F63.8 und F68.8 (Exzessiver Medienkonsum)</t>
  </si>
  <si>
    <t>*  ohne F50.x (Essstörungen) und F55.x (Schädlicher Gebrauch von nicht abhängigkeitserzeugenden Substanzen)</t>
  </si>
  <si>
    <t>*** … Verhaltens- und emotionale Störungen mit Beginn in der Kindheit und Jugend</t>
  </si>
  <si>
    <r>
      <t>Sonstige Erwerbspersonen</t>
    </r>
    <r>
      <rPr>
        <sz val="8"/>
        <rFont val="Arial"/>
        <family val="2"/>
      </rPr>
      <t xml:space="preserve"> (= Personen in besonderen Dienst-verhältnissen wie im Freiwilligendienst, als Abgeordnete oder Richter sowie mithelfende Familienangehörige)</t>
    </r>
  </si>
  <si>
    <r>
      <t>In beruflicher Reha</t>
    </r>
    <r>
      <rPr>
        <sz val="8"/>
        <rFont val="Arial"/>
        <family val="2"/>
      </rPr>
      <t xml:space="preserve"> (= Leistungen zur Teilhabe am Arbeitsleben)</t>
    </r>
  </si>
  <si>
    <t>Prozent ***</t>
  </si>
  <si>
    <t>*** Spaltenprozent bezogen auf Gesamtzahl der Beender mit eigener Symptomatik</t>
  </si>
  <si>
    <t>** Zeilenprozent bezogen auf valide Nennungen</t>
  </si>
  <si>
    <t>* nur für beendete Betreungen mit eigener Suchtsymptomatik</t>
  </si>
  <si>
    <t>Beurteilung der Problembereiche am Betreuungsende *</t>
  </si>
  <si>
    <t>keine Angaben zur Hauptsubstanz</t>
  </si>
  <si>
    <t>*** Prozentwert bei keine Angaben zur Hauptsubstanz = Missingwert</t>
  </si>
  <si>
    <t>keine Angaben zur Hauptspielform</t>
  </si>
  <si>
    <t>keine Angaben zur Hauptnutzung</t>
  </si>
  <si>
    <t>Gesamt *</t>
  </si>
  <si>
    <r>
      <t>6. Soziodemographische Daten</t>
    </r>
    <r>
      <rPr>
        <b/>
        <sz val="10"/>
        <rFont val="Arial"/>
        <family val="2"/>
      </rPr>
      <t xml:space="preserve"> </t>
    </r>
    <r>
      <rPr>
        <i/>
        <sz val="8"/>
        <color indexed="12"/>
        <rFont val="Arial"/>
        <family val="2"/>
      </rPr>
      <t>(Basis: Personen - letzte Betreuung im Erhebungszeitraum = Zelle OP 38)</t>
    </r>
  </si>
  <si>
    <r>
      <t xml:space="preserve"> - davon mit eigener Fluchterfahrung </t>
    </r>
    <r>
      <rPr>
        <sz val="8"/>
        <color rgb="FFFF0000"/>
        <rFont val="Arial"/>
        <family val="2"/>
      </rPr>
      <t>(lifetime)</t>
    </r>
    <r>
      <rPr>
        <sz val="8"/>
        <rFont val="Arial"/>
        <family val="2"/>
      </rPr>
      <t xml:space="preserve"> *</t>
    </r>
  </si>
  <si>
    <r>
      <t xml:space="preserve">2. Selektive und indizierte Prävention </t>
    </r>
    <r>
      <rPr>
        <i/>
        <sz val="8"/>
        <color indexed="12"/>
        <rFont val="Arial"/>
        <family val="2"/>
      </rPr>
      <t xml:space="preserve"> (bitte die Summe der tatsächlich erbrachten Stunden aller Mitarbeiter/innen eintragen ***)</t>
    </r>
  </si>
  <si>
    <r>
      <t xml:space="preserve">Anzahl der </t>
    </r>
    <r>
      <rPr>
        <b/>
        <sz val="9"/>
        <rFont val="Arial"/>
        <family val="2"/>
      </rPr>
      <t>Klienten (Personenbezug)</t>
    </r>
    <r>
      <rPr>
        <sz val="9"/>
        <rFont val="Arial"/>
        <family val="2"/>
      </rPr>
      <t xml:space="preserve"> (mit einem oder mehreren dokumentierten Kerndatensätzen) *</t>
    </r>
  </si>
  <si>
    <t>Kontaktart (kommunikative Settings)</t>
  </si>
  <si>
    <t>synchron</t>
  </si>
  <si>
    <t>quasisynchron</t>
  </si>
  <si>
    <t>asynchron</t>
  </si>
  <si>
    <t>Gesamt (wahrgenommene klientenbezogene Kontakte)</t>
  </si>
  <si>
    <r>
      <t>Abgesagte/ausgefallene vereinbarte persönliche Kontakte</t>
    </r>
    <r>
      <rPr>
        <b/>
        <sz val="8"/>
        <rFont val="Arial"/>
        <family val="2"/>
      </rPr>
      <t xml:space="preserve"> (optional)</t>
    </r>
  </si>
  <si>
    <r>
      <t xml:space="preserve">Gesamt </t>
    </r>
    <r>
      <rPr>
        <sz val="8"/>
        <color indexed="8"/>
        <rFont val="Arial"/>
        <family val="2"/>
      </rPr>
      <t>(inklusive nicht stattgefundener Kontakte)</t>
    </r>
  </si>
  <si>
    <t>Kommunikation am Telefon</t>
  </si>
  <si>
    <t>Face-to-Face-Kommunikation</t>
  </si>
  <si>
    <t>Videokommunikation</t>
  </si>
  <si>
    <t>Kommunikation mittels Chat oder Messenger</t>
  </si>
  <si>
    <t>Mailkommunikation</t>
  </si>
  <si>
    <t>Schriftliche Kontakte</t>
  </si>
  <si>
    <t xml:space="preserve"> * Summe der Zellen E89 und E90</t>
  </si>
  <si>
    <t>Formularversion für die manuelle Dateneingabe vom 22.11.2025, keine Änderungen seit 20.12.2022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</si>
</sst>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Std.&quot;"/>
  </numFmts>
  <fonts count="4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i/>
      <sz val="8"/>
      <color indexed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2"/>
      <name val="Arial"/>
      <family val="2"/>
    </font>
    <font>
      <b/>
      <i/>
      <sz val="10"/>
      <color indexed="10"/>
      <name val="Arial"/>
      <family val="2"/>
    </font>
    <font>
      <sz val="9"/>
      <color indexed="43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b/>
      <i/>
      <sz val="8"/>
      <color indexed="12"/>
      <name val="Arial"/>
      <family val="2"/>
    </font>
    <font>
      <u/>
      <sz val="8"/>
      <color indexed="12"/>
      <name val="Arial"/>
      <family val="2"/>
    </font>
    <font>
      <b/>
      <i/>
      <sz val="8"/>
      <color indexed="10"/>
      <name val="Arial"/>
      <family val="2"/>
    </font>
    <font>
      <sz val="8"/>
      <color indexed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b/>
      <i/>
      <sz val="9"/>
      <color indexed="10"/>
      <name val="Arial"/>
      <family val="2"/>
    </font>
    <font>
      <b/>
      <i/>
      <sz val="8"/>
      <color theme="0"/>
      <name val="Arial"/>
      <family val="2"/>
    </font>
    <font>
      <sz val="18"/>
      <name val="Arial"/>
      <family val="2"/>
    </font>
    <font>
      <b/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8"/>
      <color rgb="FFFF0000"/>
      <name val="Arial"/>
      <family val="2"/>
    </font>
    <font>
      <sz val="9"/>
      <color rgb="FFFFFF00"/>
      <name val="Arial"/>
      <family val="2"/>
    </font>
    <font>
      <b/>
      <i/>
      <sz val="8"/>
      <color rgb="FFFFFF00"/>
      <name val="Arial"/>
      <family val="2"/>
    </font>
    <font>
      <b/>
      <i/>
      <sz val="9"/>
      <color theme="0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Border="0" applyAlignment="0">
      <alignment horizontal="left"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01">
    <xf numFmtId="0" fontId="0" fillId="0" borderId="0" xfId="0"/>
    <xf numFmtId="0" fontId="4" fillId="5" borderId="2" xfId="1" applyNumberFormat="1" applyFont="1" applyFill="1" applyBorder="1" applyAlignment="1" applyProtection="1">
      <alignment horizontal="right" vertical="center" wrapText="1"/>
      <protection locked="0"/>
    </xf>
    <xf numFmtId="2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2" fontId="8" fillId="5" borderId="7" xfId="0" applyNumberFormat="1" applyFont="1" applyFill="1" applyBorder="1" applyAlignment="1" applyProtection="1">
      <alignment horizontal="right" vertical="top" wrapText="1"/>
      <protection locked="0"/>
    </xf>
    <xf numFmtId="2" fontId="8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8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6" xfId="0" applyFont="1" applyFill="1" applyBorder="1" applyAlignment="1" applyProtection="1">
      <alignment vertical="center" wrapText="1"/>
      <protection locked="0"/>
    </xf>
    <xf numFmtId="0" fontId="4" fillId="5" borderId="2" xfId="0" applyFont="1" applyFill="1" applyBorder="1" applyAlignment="1" applyProtection="1">
      <alignment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4" fillId="5" borderId="11" xfId="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>
      <alignment vertical="center"/>
    </xf>
    <xf numFmtId="0" fontId="4" fillId="5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5" borderId="9" xfId="1" applyNumberFormat="1" applyFont="1" applyFill="1" applyBorder="1" applyAlignment="1" applyProtection="1">
      <alignment horizontal="right" vertical="center" wrapText="1"/>
      <protection locked="0"/>
    </xf>
    <xf numFmtId="1" fontId="4" fillId="5" borderId="2" xfId="0" applyNumberFormat="1" applyFont="1" applyFill="1" applyBorder="1" applyAlignment="1" applyProtection="1">
      <alignment vertical="center" wrapText="1"/>
      <protection locked="0"/>
    </xf>
    <xf numFmtId="0" fontId="8" fillId="5" borderId="6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>
      <alignment vertical="center" wrapText="1"/>
    </xf>
    <xf numFmtId="0" fontId="4" fillId="5" borderId="15" xfId="0" applyFont="1" applyFill="1" applyBorder="1" applyAlignment="1" applyProtection="1">
      <alignment vertical="center" wrapText="1"/>
      <protection locked="0"/>
    </xf>
    <xf numFmtId="165" fontId="13" fillId="5" borderId="2" xfId="0" applyNumberFormat="1" applyFont="1" applyFill="1" applyBorder="1" applyAlignment="1" applyProtection="1">
      <alignment horizontal="right" vertical="center"/>
      <protection locked="0"/>
    </xf>
    <xf numFmtId="2" fontId="13" fillId="5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64" fontId="8" fillId="13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4" fontId="4" fillId="3" borderId="10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28" fillId="1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37" fillId="0" borderId="0" xfId="0" applyFont="1" applyAlignment="1">
      <alignment vertical="center"/>
    </xf>
    <xf numFmtId="0" fontId="14" fillId="10" borderId="2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0" fillId="10" borderId="14" xfId="0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30" fillId="14" borderId="0" xfId="0" applyFont="1" applyFill="1" applyAlignment="1">
      <alignment vertical="center"/>
    </xf>
    <xf numFmtId="164" fontId="4" fillId="3" borderId="15" xfId="0" applyNumberFormat="1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4" fillId="3" borderId="11" xfId="0" applyNumberFormat="1" applyFont="1" applyFill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" fontId="3" fillId="3" borderId="6" xfId="0" applyNumberFormat="1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/>
    <xf numFmtId="0" fontId="10" fillId="0" borderId="0" xfId="0" applyFont="1"/>
    <xf numFmtId="2" fontId="13" fillId="3" borderId="8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right"/>
    </xf>
    <xf numFmtId="2" fontId="8" fillId="3" borderId="4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10" fillId="15" borderId="3" xfId="0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right" vertical="center"/>
    </xf>
    <xf numFmtId="0" fontId="28" fillId="0" borderId="0" xfId="0" applyFont="1"/>
    <xf numFmtId="0" fontId="10" fillId="12" borderId="2" xfId="0" applyFont="1" applyFill="1" applyBorder="1" applyAlignment="1" applyProtection="1">
      <alignment horizontal="center" vertical="center"/>
      <protection locked="0"/>
    </xf>
    <xf numFmtId="3" fontId="4" fillId="5" borderId="3" xfId="1" applyNumberFormat="1" applyFont="1" applyFill="1" applyBorder="1" applyAlignment="1" applyProtection="1">
      <alignment horizontal="right" vertical="center" wrapText="1"/>
      <protection locked="0"/>
    </xf>
    <xf numFmtId="3" fontId="4" fillId="5" borderId="2" xfId="1" applyNumberFormat="1" applyFont="1" applyFill="1" applyBorder="1" applyAlignment="1" applyProtection="1">
      <alignment horizontal="right" vertical="center" wrapText="1"/>
      <protection locked="0"/>
    </xf>
    <xf numFmtId="3" fontId="3" fillId="6" borderId="2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>
      <alignment horizontal="center" vertical="center"/>
    </xf>
    <xf numFmtId="164" fontId="40" fillId="10" borderId="0" xfId="0" applyNumberFormat="1" applyFont="1" applyFill="1" applyAlignment="1">
      <alignment vertical="center" wrapText="1"/>
    </xf>
    <xf numFmtId="0" fontId="40" fillId="10" borderId="18" xfId="0" applyFont="1" applyFill="1" applyBorder="1" applyAlignment="1">
      <alignment vertical="center" wrapText="1"/>
    </xf>
    <xf numFmtId="164" fontId="40" fillId="10" borderId="5" xfId="0" applyNumberFormat="1" applyFont="1" applyFill="1" applyBorder="1" applyAlignment="1">
      <alignment vertical="center" wrapText="1"/>
    </xf>
    <xf numFmtId="164" fontId="40" fillId="10" borderId="19" xfId="0" applyNumberFormat="1" applyFont="1" applyFill="1" applyBorder="1" applyAlignment="1">
      <alignment vertical="center" wrapText="1"/>
    </xf>
    <xf numFmtId="0" fontId="40" fillId="10" borderId="20" xfId="0" applyFont="1" applyFill="1" applyBorder="1" applyAlignment="1">
      <alignment vertical="center" wrapText="1"/>
    </xf>
    <xf numFmtId="164" fontId="40" fillId="10" borderId="14" xfId="0" applyNumberFormat="1" applyFont="1" applyFill="1" applyBorder="1" applyAlignment="1">
      <alignment vertical="center" wrapText="1"/>
    </xf>
    <xf numFmtId="0" fontId="40" fillId="10" borderId="8" xfId="0" applyFont="1" applyFill="1" applyBorder="1" applyAlignment="1">
      <alignment vertical="center" wrapText="1"/>
    </xf>
    <xf numFmtId="164" fontId="40" fillId="10" borderId="21" xfId="0" applyNumberFormat="1" applyFont="1" applyFill="1" applyBorder="1" applyAlignment="1">
      <alignment vertical="center" wrapText="1"/>
    </xf>
    <xf numFmtId="164" fontId="40" fillId="10" borderId="6" xfId="0" applyNumberFormat="1" applyFont="1" applyFill="1" applyBorder="1" applyAlignment="1">
      <alignment vertical="center" wrapText="1"/>
    </xf>
    <xf numFmtId="0" fontId="4" fillId="5" borderId="19" xfId="0" applyFont="1" applyFill="1" applyBorder="1" applyAlignment="1" applyProtection="1">
      <alignment vertical="center" wrapText="1"/>
      <protection locked="0"/>
    </xf>
    <xf numFmtId="0" fontId="41" fillId="10" borderId="8" xfId="0" applyFont="1" applyFill="1" applyBorder="1" applyAlignment="1">
      <alignment vertical="center" wrapText="1"/>
    </xf>
    <xf numFmtId="164" fontId="41" fillId="10" borderId="21" xfId="0" applyNumberFormat="1" applyFont="1" applyFill="1" applyBorder="1" applyAlignment="1">
      <alignment vertical="center" wrapText="1"/>
    </xf>
    <xf numFmtId="0" fontId="14" fillId="10" borderId="2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164" fontId="41" fillId="10" borderId="6" xfId="0" applyNumberFormat="1" applyFont="1" applyFill="1" applyBorder="1" applyAlignment="1">
      <alignment vertical="center" wrapText="1"/>
    </xf>
    <xf numFmtId="0" fontId="28" fillId="14" borderId="0" xfId="0" applyFont="1" applyFill="1" applyAlignment="1" applyProtection="1">
      <alignment vertical="center" wrapText="1"/>
      <protection locked="0"/>
    </xf>
    <xf numFmtId="0" fontId="32" fillId="14" borderId="0" xfId="0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17" borderId="2" xfId="0" applyFont="1" applyFill="1" applyBorder="1" applyAlignment="1" applyProtection="1">
      <alignment vertical="center" wrapText="1"/>
      <protection locked="0"/>
    </xf>
    <xf numFmtId="1" fontId="47" fillId="17" borderId="4" xfId="0" applyNumberFormat="1" applyFont="1" applyFill="1" applyBorder="1" applyAlignment="1">
      <alignment vertical="center" wrapText="1"/>
    </xf>
    <xf numFmtId="0" fontId="28" fillId="14" borderId="0" xfId="0" applyFont="1" applyFill="1"/>
    <xf numFmtId="0" fontId="28" fillId="0" borderId="0" xfId="3" applyFont="1" applyAlignment="1">
      <alignment vertical="center"/>
    </xf>
    <xf numFmtId="0" fontId="10" fillId="0" borderId="0" xfId="3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8" fillId="13" borderId="7" xfId="0" applyFont="1" applyFill="1" applyBorder="1" applyAlignment="1">
      <alignment horizontal="right" vertical="center" wrapText="1"/>
    </xf>
    <xf numFmtId="0" fontId="8" fillId="13" borderId="16" xfId="0" applyFont="1" applyFill="1" applyBorder="1" applyAlignment="1">
      <alignment horizontal="right" vertical="center" wrapText="1"/>
    </xf>
    <xf numFmtId="0" fontId="8" fillId="13" borderId="3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13" fillId="7" borderId="7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3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9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41" fillId="10" borderId="14" xfId="0" applyFont="1" applyFill="1" applyBorder="1" applyAlignment="1">
      <alignment horizontal="center" vertical="center" wrapText="1"/>
    </xf>
    <xf numFmtId="0" fontId="42" fillId="10" borderId="1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vertical="top" wrapText="1"/>
      <protection locked="0"/>
    </xf>
    <xf numFmtId="0" fontId="4" fillId="5" borderId="19" xfId="0" applyFont="1" applyFill="1" applyBorder="1" applyAlignment="1" applyProtection="1">
      <alignment vertical="top" wrapText="1"/>
      <protection locked="0"/>
    </xf>
    <xf numFmtId="0" fontId="4" fillId="5" borderId="20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vertical="top" wrapText="1"/>
      <protection locked="0"/>
    </xf>
    <xf numFmtId="0" fontId="4" fillId="5" borderId="14" xfId="0" applyFont="1" applyFill="1" applyBorder="1" applyAlignment="1" applyProtection="1">
      <alignment vertical="top" wrapText="1"/>
      <protection locked="0"/>
    </xf>
    <xf numFmtId="0" fontId="4" fillId="5" borderId="8" xfId="0" applyFont="1" applyFill="1" applyBorder="1" applyAlignment="1" applyProtection="1">
      <alignment vertical="top" wrapText="1"/>
      <protection locked="0"/>
    </xf>
    <xf numFmtId="0" fontId="4" fillId="5" borderId="21" xfId="0" applyFont="1" applyFill="1" applyBorder="1" applyAlignment="1" applyProtection="1">
      <alignment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1" fillId="10" borderId="20" xfId="0" applyFont="1" applyFill="1" applyBorder="1" applyAlignment="1">
      <alignment horizontal="center" vertical="center" wrapText="1"/>
    </xf>
    <xf numFmtId="0" fontId="42" fillId="10" borderId="2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1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42" fillId="10" borderId="8" xfId="0" applyFont="1" applyFill="1" applyBorder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42" fillId="10" borderId="21" xfId="0" applyFont="1" applyFill="1" applyBorder="1" applyAlignment="1">
      <alignment horizontal="center" vertical="center" wrapText="1"/>
    </xf>
    <xf numFmtId="0" fontId="42" fillId="10" borderId="6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2" fontId="13" fillId="3" borderId="8" xfId="0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4" fillId="0" borderId="1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8" borderId="7" xfId="0" applyFont="1" applyFill="1" applyBorder="1"/>
    <xf numFmtId="0" fontId="0" fillId="0" borderId="3" xfId="0" applyBorder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2" fontId="13" fillId="3" borderId="1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2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2" fontId="3" fillId="3" borderId="16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 applyProtection="1">
      <alignment vertical="center"/>
      <protection locked="0"/>
    </xf>
    <xf numFmtId="0" fontId="4" fillId="5" borderId="16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5" borderId="7" xfId="2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1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16" borderId="7" xfId="0" applyFont="1" applyFill="1" applyBorder="1" applyAlignment="1">
      <alignment vertical="center" wrapText="1"/>
    </xf>
    <xf numFmtId="0" fontId="10" fillId="16" borderId="16" xfId="0" applyFont="1" applyFill="1" applyBorder="1" applyAlignment="1">
      <alignment vertical="center" wrapText="1"/>
    </xf>
    <xf numFmtId="0" fontId="10" fillId="16" borderId="3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16" xfId="0" applyBorder="1" applyAlignment="1">
      <alignment horizontal="left" vertical="center"/>
    </xf>
    <xf numFmtId="0" fontId="10" fillId="3" borderId="16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3" fillId="18" borderId="7" xfId="0" applyFont="1" applyFill="1" applyBorder="1" applyAlignment="1">
      <alignment horizontal="center" vertical="center"/>
    </xf>
    <xf numFmtId="0" fontId="13" fillId="18" borderId="16" xfId="0" applyFont="1" applyFill="1" applyBorder="1" applyAlignment="1">
      <alignment horizontal="center" vertical="center"/>
    </xf>
    <xf numFmtId="0" fontId="13" fillId="18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4" fillId="5" borderId="7" xfId="0" applyNumberFormat="1" applyFont="1" applyFill="1" applyBorder="1" applyAlignment="1" applyProtection="1">
      <alignment horizontal="left" vertical="center"/>
      <protection locked="0"/>
    </xf>
    <xf numFmtId="0" fontId="4" fillId="5" borderId="16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2" fillId="5" borderId="7" xfId="2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42" fillId="10" borderId="0" xfId="0" applyFont="1" applyFill="1" applyAlignment="1">
      <alignment horizontal="center"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10" borderId="16" xfId="0" applyFont="1" applyFill="1" applyBorder="1" applyAlignment="1">
      <alignment vertical="center"/>
    </xf>
    <xf numFmtId="0" fontId="8" fillId="8" borderId="2" xfId="0" applyFont="1" applyFill="1" applyBorder="1"/>
    <xf numFmtId="0" fontId="0" fillId="0" borderId="2" xfId="0" applyBorder="1"/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1" fillId="10" borderId="18" xfId="0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 wrapText="1"/>
    </xf>
    <xf numFmtId="0" fontId="42" fillId="10" borderId="19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/>
    </xf>
    <xf numFmtId="0" fontId="38" fillId="9" borderId="21" xfId="0" applyFont="1" applyFill="1" applyBorder="1" applyAlignment="1">
      <alignment vertical="center"/>
    </xf>
  </cellXfs>
  <cellStyles count="4">
    <cellStyle name="Gesamtfarbe" xfId="1" xr:uid="{00000000-0005-0000-0000-000000000000}"/>
    <cellStyle name="Link" xfId="2" builtinId="8"/>
    <cellStyle name="Standard" xfId="0" builtinId="0"/>
    <cellStyle name="Standard 2" xfId="3" xr:uid="{69115420-2091-4E5B-A8A1-F661A0E7A02A}"/>
  </cellStyles>
  <dxfs count="2">
    <dxf>
      <font>
        <b/>
        <i val="0"/>
        <condense val="0"/>
        <extend val="0"/>
        <color indexed="1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9525</xdr:rowOff>
        </xdr:from>
        <xdr:to>
          <xdr:col>16</xdr:col>
          <xdr:colOff>28575</xdr:colOff>
          <xdr:row>1</xdr:row>
          <xdr:rowOff>0</xdr:rowOff>
        </xdr:to>
        <xdr:sp macro="" textlink="">
          <xdr:nvSpPr>
            <xdr:cNvPr id="4187" name="ComboBox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406"/>
  <sheetViews>
    <sheetView tabSelected="1" topLeftCell="A368" zoomScaleNormal="100" zoomScaleSheetLayoutView="100" workbookViewId="0">
      <selection activeCell="I376" sqref="I376:J376"/>
    </sheetView>
  </sheetViews>
  <sheetFormatPr baseColWidth="10" defaultColWidth="11.42578125" defaultRowHeight="12.75" x14ac:dyDescent="0.2"/>
  <cols>
    <col min="1" max="1" width="19.7109375" style="23" customWidth="1"/>
    <col min="2" max="8" width="9.5703125" style="23" customWidth="1"/>
    <col min="9" max="13" width="9.85546875" style="23" customWidth="1"/>
    <col min="14" max="16" width="9.5703125" style="23" customWidth="1"/>
    <col min="17" max="19" width="3.7109375" style="23" customWidth="1"/>
    <col min="20" max="20" width="5" style="23" customWidth="1"/>
    <col min="21" max="16384" width="11.42578125" style="23"/>
  </cols>
  <sheetData>
    <row r="1" spans="1:19" ht="20.25" x14ac:dyDescent="0.2">
      <c r="A1" s="399" t="s">
        <v>371</v>
      </c>
      <c r="B1" s="247"/>
      <c r="C1" s="247"/>
      <c r="D1" s="247"/>
      <c r="E1" s="247"/>
      <c r="F1" s="247"/>
      <c r="G1" s="247"/>
      <c r="H1" s="247"/>
      <c r="I1" s="247"/>
      <c r="J1" s="247"/>
      <c r="K1" s="400" t="str">
        <f>IF(ISBLANK(O1)," &gt;&gt; bitte rechts den Bezirk auswählen &gt;&gt;","")</f>
        <v xml:space="preserve"> &gt;&gt; bitte rechts den Bezirk auswählen &gt;&gt;</v>
      </c>
      <c r="L1" s="380"/>
      <c r="M1" s="380"/>
      <c r="N1" s="381"/>
      <c r="O1" s="107"/>
      <c r="P1" s="107"/>
      <c r="Q1" s="127"/>
      <c r="R1" s="19"/>
    </row>
    <row r="2" spans="1:19" x14ac:dyDescent="0.2">
      <c r="A2" s="358" t="s">
        <v>449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128" t="s">
        <v>352</v>
      </c>
      <c r="R2" s="14">
        <v>1</v>
      </c>
    </row>
    <row r="3" spans="1:19" x14ac:dyDescent="0.2">
      <c r="Q3" s="128" t="s">
        <v>353</v>
      </c>
      <c r="R3" s="14">
        <v>2</v>
      </c>
    </row>
    <row r="4" spans="1:19" x14ac:dyDescent="0.2">
      <c r="A4" s="24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128" t="s">
        <v>354</v>
      </c>
      <c r="R4" s="14">
        <v>3</v>
      </c>
    </row>
    <row r="5" spans="1:19" x14ac:dyDescent="0.2">
      <c r="A5" s="37" t="str">
        <f>IF(S18=0,"","Bitte alle nachfolgenden Felder zur Einrichtung ausfüllen")</f>
        <v>Bitte alle nachfolgenden Felder zur Einrichtung ausfüllen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28" t="s">
        <v>355</v>
      </c>
      <c r="R5" s="14">
        <v>4</v>
      </c>
    </row>
    <row r="6" spans="1:19" x14ac:dyDescent="0.2">
      <c r="A6" s="320" t="s">
        <v>0</v>
      </c>
      <c r="B6" s="321"/>
      <c r="C6" s="321"/>
      <c r="D6" s="321"/>
      <c r="E6" s="321"/>
      <c r="F6" s="288"/>
      <c r="G6" s="315"/>
      <c r="H6" s="316"/>
      <c r="I6" s="316"/>
      <c r="J6" s="316"/>
      <c r="K6" s="316"/>
      <c r="L6" s="317"/>
      <c r="M6" s="317"/>
      <c r="N6" s="317"/>
      <c r="O6" s="317"/>
      <c r="P6" s="318"/>
      <c r="Q6" s="128" t="s">
        <v>356</v>
      </c>
      <c r="R6" s="14">
        <v>5</v>
      </c>
      <c r="S6" s="72">
        <f>IF(ISBLANK(G6),1,)</f>
        <v>1</v>
      </c>
    </row>
    <row r="7" spans="1:19" x14ac:dyDescent="0.2">
      <c r="A7" s="320" t="s">
        <v>34</v>
      </c>
      <c r="B7" s="321" t="s">
        <v>34</v>
      </c>
      <c r="C7" s="321" t="s">
        <v>34</v>
      </c>
      <c r="D7" s="321" t="s">
        <v>34</v>
      </c>
      <c r="E7" s="321" t="s">
        <v>34</v>
      </c>
      <c r="F7" s="288"/>
      <c r="G7" s="315"/>
      <c r="H7" s="316"/>
      <c r="I7" s="316"/>
      <c r="J7" s="316"/>
      <c r="K7" s="316"/>
      <c r="L7" s="317"/>
      <c r="M7" s="317"/>
      <c r="N7" s="317"/>
      <c r="O7" s="317"/>
      <c r="P7" s="318"/>
      <c r="Q7" s="14" t="s">
        <v>357</v>
      </c>
      <c r="R7" s="14">
        <v>6</v>
      </c>
      <c r="S7" s="72">
        <f t="shared" ref="S7:S17" si="0">IF(ISBLANK(G7),1,)</f>
        <v>1</v>
      </c>
    </row>
    <row r="8" spans="1:19" x14ac:dyDescent="0.2">
      <c r="A8" s="320" t="s">
        <v>35</v>
      </c>
      <c r="B8" s="321" t="s">
        <v>35</v>
      </c>
      <c r="C8" s="321" t="s">
        <v>35</v>
      </c>
      <c r="D8" s="321" t="s">
        <v>35</v>
      </c>
      <c r="E8" s="321" t="s">
        <v>35</v>
      </c>
      <c r="F8" s="288"/>
      <c r="G8" s="371"/>
      <c r="H8" s="366"/>
      <c r="I8" s="366"/>
      <c r="J8" s="366"/>
      <c r="K8" s="366"/>
      <c r="L8" s="367"/>
      <c r="M8" s="367"/>
      <c r="N8" s="367"/>
      <c r="O8" s="367"/>
      <c r="P8" s="368"/>
      <c r="Q8" s="14" t="s">
        <v>358</v>
      </c>
      <c r="R8" s="14">
        <v>7</v>
      </c>
      <c r="S8" s="72">
        <f t="shared" si="0"/>
        <v>1</v>
      </c>
    </row>
    <row r="9" spans="1:19" x14ac:dyDescent="0.2">
      <c r="A9" s="320" t="s">
        <v>30</v>
      </c>
      <c r="B9" s="321" t="s">
        <v>30</v>
      </c>
      <c r="C9" s="321" t="s">
        <v>30</v>
      </c>
      <c r="D9" s="321" t="s">
        <v>30</v>
      </c>
      <c r="E9" s="321" t="s">
        <v>30</v>
      </c>
      <c r="F9" s="288"/>
      <c r="G9" s="315"/>
      <c r="H9" s="316"/>
      <c r="I9" s="316"/>
      <c r="J9" s="316"/>
      <c r="K9" s="316"/>
      <c r="L9" s="317"/>
      <c r="M9" s="317"/>
      <c r="N9" s="317"/>
      <c r="O9" s="317"/>
      <c r="P9" s="318"/>
      <c r="Q9" s="14"/>
      <c r="S9" s="72">
        <f t="shared" si="0"/>
        <v>1</v>
      </c>
    </row>
    <row r="10" spans="1:19" x14ac:dyDescent="0.2">
      <c r="A10" s="320" t="s">
        <v>33</v>
      </c>
      <c r="B10" s="321" t="s">
        <v>33</v>
      </c>
      <c r="C10" s="321" t="s">
        <v>33</v>
      </c>
      <c r="D10" s="321" t="s">
        <v>33</v>
      </c>
      <c r="E10" s="321" t="s">
        <v>33</v>
      </c>
      <c r="F10" s="288"/>
      <c r="G10" s="315"/>
      <c r="H10" s="316"/>
      <c r="I10" s="316"/>
      <c r="J10" s="316"/>
      <c r="K10" s="316"/>
      <c r="L10" s="317"/>
      <c r="M10" s="317"/>
      <c r="N10" s="317"/>
      <c r="O10" s="317"/>
      <c r="P10" s="318"/>
      <c r="S10" s="72">
        <f t="shared" si="0"/>
        <v>1</v>
      </c>
    </row>
    <row r="11" spans="1:19" x14ac:dyDescent="0.2">
      <c r="A11" s="320" t="s">
        <v>31</v>
      </c>
      <c r="B11" s="321" t="s">
        <v>31</v>
      </c>
      <c r="C11" s="321" t="s">
        <v>31</v>
      </c>
      <c r="D11" s="321" t="s">
        <v>31</v>
      </c>
      <c r="E11" s="321" t="s">
        <v>31</v>
      </c>
      <c r="F11" s="288"/>
      <c r="G11" s="315"/>
      <c r="H11" s="316"/>
      <c r="I11" s="316"/>
      <c r="J11" s="316"/>
      <c r="K11" s="316"/>
      <c r="L11" s="317"/>
      <c r="M11" s="317"/>
      <c r="N11" s="317"/>
      <c r="O11" s="317"/>
      <c r="P11" s="318"/>
      <c r="S11" s="72">
        <f t="shared" si="0"/>
        <v>1</v>
      </c>
    </row>
    <row r="12" spans="1:19" x14ac:dyDescent="0.2">
      <c r="A12" s="320" t="s">
        <v>32</v>
      </c>
      <c r="B12" s="321" t="s">
        <v>32</v>
      </c>
      <c r="C12" s="321" t="s">
        <v>32</v>
      </c>
      <c r="D12" s="321" t="s">
        <v>32</v>
      </c>
      <c r="E12" s="321" t="s">
        <v>32</v>
      </c>
      <c r="F12" s="288"/>
      <c r="G12" s="370"/>
      <c r="H12" s="316"/>
      <c r="I12" s="316"/>
      <c r="J12" s="316"/>
      <c r="K12" s="316"/>
      <c r="L12" s="317"/>
      <c r="M12" s="317"/>
      <c r="N12" s="317"/>
      <c r="O12" s="317"/>
      <c r="P12" s="318"/>
      <c r="S12" s="72">
        <f t="shared" si="0"/>
        <v>1</v>
      </c>
    </row>
    <row r="13" spans="1:19" x14ac:dyDescent="0.2">
      <c r="A13" s="320" t="s">
        <v>1</v>
      </c>
      <c r="B13" s="321" t="s">
        <v>1</v>
      </c>
      <c r="C13" s="321" t="s">
        <v>1</v>
      </c>
      <c r="D13" s="321" t="s">
        <v>1</v>
      </c>
      <c r="E13" s="321" t="s">
        <v>1</v>
      </c>
      <c r="F13" s="288"/>
      <c r="G13" s="315"/>
      <c r="H13" s="316"/>
      <c r="I13" s="316"/>
      <c r="J13" s="316"/>
      <c r="K13" s="316"/>
      <c r="L13" s="317"/>
      <c r="M13" s="317"/>
      <c r="N13" s="317"/>
      <c r="O13" s="317"/>
      <c r="P13" s="318"/>
      <c r="S13" s="72">
        <f t="shared" si="0"/>
        <v>1</v>
      </c>
    </row>
    <row r="14" spans="1:19" x14ac:dyDescent="0.2">
      <c r="A14" s="320" t="s">
        <v>2</v>
      </c>
      <c r="B14" s="321" t="s">
        <v>2</v>
      </c>
      <c r="C14" s="321" t="s">
        <v>2</v>
      </c>
      <c r="D14" s="321" t="s">
        <v>2</v>
      </c>
      <c r="E14" s="321" t="s">
        <v>2</v>
      </c>
      <c r="F14" s="288"/>
      <c r="G14" s="315"/>
      <c r="H14" s="316"/>
      <c r="I14" s="316"/>
      <c r="J14" s="316"/>
      <c r="K14" s="316"/>
      <c r="L14" s="317"/>
      <c r="M14" s="317"/>
      <c r="N14" s="317"/>
      <c r="O14" s="317"/>
      <c r="P14" s="318"/>
      <c r="S14" s="72">
        <f t="shared" si="0"/>
        <v>1</v>
      </c>
    </row>
    <row r="15" spans="1:19" x14ac:dyDescent="0.2">
      <c r="A15" s="320" t="s">
        <v>3</v>
      </c>
      <c r="B15" s="321" t="s">
        <v>3</v>
      </c>
      <c r="C15" s="321" t="s">
        <v>3</v>
      </c>
      <c r="D15" s="321" t="s">
        <v>3</v>
      </c>
      <c r="E15" s="321" t="s">
        <v>3</v>
      </c>
      <c r="F15" s="288"/>
      <c r="G15" s="315"/>
      <c r="H15" s="316"/>
      <c r="I15" s="316"/>
      <c r="J15" s="316"/>
      <c r="K15" s="316"/>
      <c r="L15" s="317"/>
      <c r="M15" s="317"/>
      <c r="N15" s="317"/>
      <c r="O15" s="317"/>
      <c r="P15" s="318"/>
      <c r="S15" s="72">
        <f t="shared" si="0"/>
        <v>1</v>
      </c>
    </row>
    <row r="16" spans="1:19" x14ac:dyDescent="0.2">
      <c r="A16" s="320" t="s">
        <v>41</v>
      </c>
      <c r="B16" s="321" t="s">
        <v>41</v>
      </c>
      <c r="C16" s="321" t="s">
        <v>41</v>
      </c>
      <c r="D16" s="321" t="s">
        <v>41</v>
      </c>
      <c r="E16" s="321" t="s">
        <v>41</v>
      </c>
      <c r="F16" s="288"/>
      <c r="G16" s="365"/>
      <c r="H16" s="366"/>
      <c r="I16" s="366"/>
      <c r="J16" s="366"/>
      <c r="K16" s="366"/>
      <c r="L16" s="367"/>
      <c r="M16" s="367"/>
      <c r="N16" s="367"/>
      <c r="O16" s="367"/>
      <c r="P16" s="368"/>
      <c r="S16" s="72">
        <f t="shared" si="0"/>
        <v>1</v>
      </c>
    </row>
    <row r="17" spans="1:22" x14ac:dyDescent="0.2">
      <c r="A17" s="320" t="s">
        <v>72</v>
      </c>
      <c r="B17" s="321" t="s">
        <v>42</v>
      </c>
      <c r="C17" s="321" t="s">
        <v>42</v>
      </c>
      <c r="D17" s="321" t="s">
        <v>42</v>
      </c>
      <c r="E17" s="321" t="s">
        <v>42</v>
      </c>
      <c r="F17" s="288"/>
      <c r="G17" s="369" t="s">
        <v>38</v>
      </c>
      <c r="H17" s="294"/>
      <c r="I17" s="362">
        <v>45658</v>
      </c>
      <c r="J17" s="363"/>
      <c r="K17" s="363"/>
      <c r="L17" s="369" t="s">
        <v>60</v>
      </c>
      <c r="M17" s="294"/>
      <c r="N17" s="362">
        <v>46022</v>
      </c>
      <c r="O17" s="363"/>
      <c r="P17" s="364"/>
      <c r="Q17" s="72">
        <f>IF(ISBLANK(I17),1,)</f>
        <v>0</v>
      </c>
      <c r="R17" s="72">
        <f>IF(ISBLANK(N17),1,)</f>
        <v>0</v>
      </c>
      <c r="S17" s="72">
        <f t="shared" si="0"/>
        <v>0</v>
      </c>
    </row>
    <row r="18" spans="1:22" x14ac:dyDescent="0.2">
      <c r="A18" s="25"/>
      <c r="B18" s="25"/>
      <c r="C18" s="25"/>
      <c r="D18" s="25"/>
      <c r="E18" s="25"/>
      <c r="F18" s="24"/>
      <c r="G18" s="25"/>
      <c r="H18" s="25"/>
      <c r="I18" s="25"/>
      <c r="J18" s="25"/>
      <c r="K18" s="25"/>
      <c r="L18" s="25"/>
      <c r="M18" s="25"/>
      <c r="S18" s="72">
        <f>SUM(S6:S17)</f>
        <v>11</v>
      </c>
    </row>
    <row r="19" spans="1:22" x14ac:dyDescent="0.2">
      <c r="A19" s="24" t="s">
        <v>62</v>
      </c>
      <c r="B19" s="25"/>
      <c r="C19" s="25"/>
      <c r="D19" s="25"/>
      <c r="E19" s="25"/>
      <c r="F19" s="25"/>
      <c r="H19" s="24" t="s">
        <v>129</v>
      </c>
    </row>
    <row r="20" spans="1:22" x14ac:dyDescent="0.2">
      <c r="A20" s="37" t="str">
        <f>IF(G27=0,"","Bitte alle Felder zum/r Ansprechpartner/in eintragen")</f>
        <v>Bitte alle Felder zum/r Ansprechpartner/in eintragen</v>
      </c>
      <c r="B20" s="25"/>
      <c r="C20" s="25"/>
      <c r="D20" s="25"/>
      <c r="E20" s="25"/>
      <c r="F20" s="25"/>
      <c r="H20" s="37" t="str">
        <f>IF(V33=0,"","Bitte Gewichtung der Problematik eintragen")</f>
        <v>Bitte Gewichtung der Problematik eintragen</v>
      </c>
      <c r="M20" s="37" t="str">
        <f>IF(U33=0,"","Falscher Gewichtungswert")</f>
        <v/>
      </c>
    </row>
    <row r="21" spans="1:22" x14ac:dyDescent="0.2">
      <c r="A21" s="26" t="s">
        <v>4</v>
      </c>
      <c r="B21" s="319"/>
      <c r="C21" s="317"/>
      <c r="D21" s="317"/>
      <c r="E21" s="317"/>
      <c r="F21" s="318"/>
      <c r="G21" s="72">
        <f>IF(ISBLANK(B21),1,)</f>
        <v>1</v>
      </c>
      <c r="H21" s="286" t="s">
        <v>45</v>
      </c>
      <c r="I21" s="373"/>
      <c r="J21" s="373"/>
      <c r="K21" s="373"/>
      <c r="L21" s="373"/>
      <c r="M21" s="288"/>
      <c r="N21" s="288"/>
      <c r="O21" s="215" t="s">
        <v>127</v>
      </c>
      <c r="P21" s="361"/>
    </row>
    <row r="22" spans="1:22" x14ac:dyDescent="0.2">
      <c r="A22" s="26" t="s">
        <v>63</v>
      </c>
      <c r="B22" s="319"/>
      <c r="C22" s="317"/>
      <c r="D22" s="317"/>
      <c r="E22" s="317"/>
      <c r="F22" s="318"/>
      <c r="G22" s="72">
        <f t="shared" ref="G22:G26" si="1">IF(ISBLANK(B22),1,)</f>
        <v>1</v>
      </c>
      <c r="H22" s="320" t="s">
        <v>7</v>
      </c>
      <c r="I22" s="321"/>
      <c r="J22" s="321"/>
      <c r="K22" s="321"/>
      <c r="L22" s="321"/>
      <c r="M22" s="288"/>
      <c r="N22" s="288"/>
      <c r="O22" s="330"/>
      <c r="P22" s="331"/>
      <c r="Q22" s="139">
        <f>IF(O22=1,1,0)</f>
        <v>0</v>
      </c>
      <c r="R22" s="139">
        <f>IF(O22=2,1,0)</f>
        <v>0</v>
      </c>
      <c r="S22" s="139">
        <f>IF(O22=3,1,0)</f>
        <v>0</v>
      </c>
      <c r="T22" s="139">
        <f>IF(O22=0,1,0)</f>
        <v>1</v>
      </c>
      <c r="U22" s="72" t="str">
        <f>IF(O22&gt;3,1,"")</f>
        <v/>
      </c>
      <c r="V22" s="72">
        <f>IF(O22="",1,0)</f>
        <v>1</v>
      </c>
    </row>
    <row r="23" spans="1:22" x14ac:dyDescent="0.2">
      <c r="A23" s="26" t="s">
        <v>5</v>
      </c>
      <c r="B23" s="319"/>
      <c r="C23" s="317"/>
      <c r="D23" s="317"/>
      <c r="E23" s="317"/>
      <c r="F23" s="318"/>
      <c r="G23" s="72">
        <f t="shared" si="1"/>
        <v>1</v>
      </c>
      <c r="H23" s="320" t="s">
        <v>8</v>
      </c>
      <c r="I23" s="321"/>
      <c r="J23" s="321"/>
      <c r="K23" s="321"/>
      <c r="L23" s="321"/>
      <c r="M23" s="288"/>
      <c r="N23" s="288"/>
      <c r="O23" s="330"/>
      <c r="P23" s="331"/>
      <c r="Q23" s="139">
        <f t="shared" ref="Q23:Q32" si="2">IF(O23=1,1,0)</f>
        <v>0</v>
      </c>
      <c r="R23" s="139">
        <f t="shared" ref="R23:R32" si="3">IF(O23=2,1,0)</f>
        <v>0</v>
      </c>
      <c r="S23" s="139">
        <f t="shared" ref="S23:S32" si="4">IF(O23=3,1,0)</f>
        <v>0</v>
      </c>
      <c r="T23" s="139">
        <f t="shared" ref="T23:T32" si="5">IF(O23=0,1,0)</f>
        <v>1</v>
      </c>
      <c r="U23" s="72" t="str">
        <f t="shared" ref="U23:U32" si="6">IF(O23&gt;3,1,"")</f>
        <v/>
      </c>
      <c r="V23" s="72">
        <f t="shared" ref="V23:V32" si="7">IF(O23="",1,0)</f>
        <v>1</v>
      </c>
    </row>
    <row r="24" spans="1:22" x14ac:dyDescent="0.2">
      <c r="A24" s="26" t="s">
        <v>33</v>
      </c>
      <c r="B24" s="319"/>
      <c r="C24" s="317"/>
      <c r="D24" s="317"/>
      <c r="E24" s="317"/>
      <c r="F24" s="318"/>
      <c r="G24" s="72">
        <f t="shared" si="1"/>
        <v>1</v>
      </c>
      <c r="H24" s="320" t="s">
        <v>9</v>
      </c>
      <c r="I24" s="321"/>
      <c r="J24" s="321"/>
      <c r="K24" s="321"/>
      <c r="L24" s="321"/>
      <c r="M24" s="288"/>
      <c r="N24" s="288"/>
      <c r="O24" s="330"/>
      <c r="P24" s="331"/>
      <c r="Q24" s="139">
        <f t="shared" si="2"/>
        <v>0</v>
      </c>
      <c r="R24" s="139">
        <f t="shared" si="3"/>
        <v>0</v>
      </c>
      <c r="S24" s="139">
        <f t="shared" si="4"/>
        <v>0</v>
      </c>
      <c r="T24" s="139">
        <f t="shared" si="5"/>
        <v>1</v>
      </c>
      <c r="U24" s="72" t="str">
        <f t="shared" si="6"/>
        <v/>
      </c>
      <c r="V24" s="72">
        <f t="shared" si="7"/>
        <v>1</v>
      </c>
    </row>
    <row r="25" spans="1:22" x14ac:dyDescent="0.2">
      <c r="A25" s="26" t="s">
        <v>31</v>
      </c>
      <c r="B25" s="319"/>
      <c r="C25" s="317"/>
      <c r="D25" s="317"/>
      <c r="E25" s="317"/>
      <c r="F25" s="318"/>
      <c r="G25" s="72">
        <f t="shared" si="1"/>
        <v>1</v>
      </c>
      <c r="H25" s="320" t="s">
        <v>10</v>
      </c>
      <c r="I25" s="321"/>
      <c r="J25" s="321"/>
      <c r="K25" s="321"/>
      <c r="L25" s="321"/>
      <c r="M25" s="288"/>
      <c r="N25" s="288"/>
      <c r="O25" s="330"/>
      <c r="P25" s="331"/>
      <c r="Q25" s="139">
        <f t="shared" si="2"/>
        <v>0</v>
      </c>
      <c r="R25" s="139">
        <f t="shared" si="3"/>
        <v>0</v>
      </c>
      <c r="S25" s="139">
        <f t="shared" si="4"/>
        <v>0</v>
      </c>
      <c r="T25" s="139">
        <f t="shared" si="5"/>
        <v>1</v>
      </c>
      <c r="U25" s="72" t="str">
        <f t="shared" si="6"/>
        <v/>
      </c>
      <c r="V25" s="72">
        <f t="shared" si="7"/>
        <v>1</v>
      </c>
    </row>
    <row r="26" spans="1:22" x14ac:dyDescent="0.2">
      <c r="A26" s="26" t="s">
        <v>32</v>
      </c>
      <c r="B26" s="322"/>
      <c r="C26" s="317"/>
      <c r="D26" s="317"/>
      <c r="E26" s="317"/>
      <c r="F26" s="318"/>
      <c r="G26" s="72">
        <f t="shared" si="1"/>
        <v>1</v>
      </c>
      <c r="H26" s="320" t="s">
        <v>11</v>
      </c>
      <c r="I26" s="321"/>
      <c r="J26" s="321"/>
      <c r="K26" s="321"/>
      <c r="L26" s="321"/>
      <c r="M26" s="288"/>
      <c r="N26" s="288"/>
      <c r="O26" s="330"/>
      <c r="P26" s="331"/>
      <c r="Q26" s="139">
        <f t="shared" si="2"/>
        <v>0</v>
      </c>
      <c r="R26" s="139">
        <f t="shared" si="3"/>
        <v>0</v>
      </c>
      <c r="S26" s="139">
        <f t="shared" si="4"/>
        <v>0</v>
      </c>
      <c r="T26" s="139">
        <f t="shared" si="5"/>
        <v>1</v>
      </c>
      <c r="U26" s="72" t="str">
        <f t="shared" si="6"/>
        <v/>
      </c>
      <c r="V26" s="72">
        <f t="shared" si="7"/>
        <v>1</v>
      </c>
    </row>
    <row r="27" spans="1:22" x14ac:dyDescent="0.2">
      <c r="A27" s="27"/>
      <c r="B27" s="28"/>
      <c r="C27" s="28"/>
      <c r="D27" s="28"/>
      <c r="E27" s="28"/>
      <c r="F27" s="29"/>
      <c r="G27" s="72">
        <f>SUM(G21:G26)</f>
        <v>6</v>
      </c>
      <c r="H27" s="320" t="s">
        <v>12</v>
      </c>
      <c r="I27" s="321"/>
      <c r="J27" s="321"/>
      <c r="K27" s="321"/>
      <c r="L27" s="321"/>
      <c r="M27" s="288"/>
      <c r="N27" s="288"/>
      <c r="O27" s="330"/>
      <c r="P27" s="331"/>
      <c r="Q27" s="139">
        <f t="shared" si="2"/>
        <v>0</v>
      </c>
      <c r="R27" s="139">
        <f t="shared" si="3"/>
        <v>0</v>
      </c>
      <c r="S27" s="139">
        <f t="shared" si="4"/>
        <v>0</v>
      </c>
      <c r="T27" s="139">
        <f t="shared" si="5"/>
        <v>1</v>
      </c>
      <c r="U27" s="72" t="str">
        <f t="shared" si="6"/>
        <v/>
      </c>
      <c r="V27" s="72">
        <f t="shared" si="7"/>
        <v>1</v>
      </c>
    </row>
    <row r="28" spans="1:22" x14ac:dyDescent="0.2">
      <c r="A28" s="25"/>
      <c r="B28" s="25"/>
      <c r="C28" s="25"/>
      <c r="D28" s="25"/>
      <c r="E28" s="25"/>
      <c r="F28" s="25"/>
      <c r="G28" s="25"/>
      <c r="H28" s="320" t="s">
        <v>13</v>
      </c>
      <c r="I28" s="321"/>
      <c r="J28" s="321"/>
      <c r="K28" s="321"/>
      <c r="L28" s="321"/>
      <c r="M28" s="288"/>
      <c r="N28" s="288"/>
      <c r="O28" s="330"/>
      <c r="P28" s="331"/>
      <c r="Q28" s="139">
        <f t="shared" si="2"/>
        <v>0</v>
      </c>
      <c r="R28" s="139">
        <f t="shared" si="3"/>
        <v>0</v>
      </c>
      <c r="S28" s="139">
        <f t="shared" si="4"/>
        <v>0</v>
      </c>
      <c r="T28" s="139">
        <f t="shared" si="5"/>
        <v>1</v>
      </c>
      <c r="U28" s="72" t="str">
        <f t="shared" si="6"/>
        <v/>
      </c>
      <c r="V28" s="72">
        <f t="shared" si="7"/>
        <v>1</v>
      </c>
    </row>
    <row r="29" spans="1:22" x14ac:dyDescent="0.2">
      <c r="B29" s="25"/>
      <c r="C29" s="25"/>
      <c r="D29" s="25"/>
      <c r="E29" s="25"/>
      <c r="F29" s="25"/>
      <c r="G29" s="25"/>
      <c r="H29" s="320" t="s">
        <v>351</v>
      </c>
      <c r="I29" s="333"/>
      <c r="J29" s="333"/>
      <c r="K29" s="333"/>
      <c r="L29" s="333"/>
      <c r="M29" s="357"/>
      <c r="N29" s="357"/>
      <c r="O29" s="330"/>
      <c r="P29" s="331"/>
      <c r="Q29" s="139">
        <f t="shared" si="2"/>
        <v>0</v>
      </c>
      <c r="R29" s="139">
        <f t="shared" si="3"/>
        <v>0</v>
      </c>
      <c r="S29" s="139">
        <f t="shared" si="4"/>
        <v>0</v>
      </c>
      <c r="T29" s="139">
        <f t="shared" si="5"/>
        <v>1</v>
      </c>
      <c r="U29" s="72" t="str">
        <f t="shared" si="6"/>
        <v/>
      </c>
      <c r="V29" s="72">
        <f t="shared" si="7"/>
        <v>1</v>
      </c>
    </row>
    <row r="30" spans="1:22" x14ac:dyDescent="0.2">
      <c r="B30" s="25"/>
      <c r="C30" s="25"/>
      <c r="D30" s="25"/>
      <c r="E30" s="25"/>
      <c r="F30" s="25"/>
      <c r="G30" s="25"/>
      <c r="H30" s="320" t="s">
        <v>6</v>
      </c>
      <c r="I30" s="333"/>
      <c r="J30" s="333"/>
      <c r="K30" s="333"/>
      <c r="L30" s="333"/>
      <c r="M30" s="357"/>
      <c r="N30" s="357"/>
      <c r="O30" s="330"/>
      <c r="P30" s="331"/>
      <c r="Q30" s="139">
        <f t="shared" si="2"/>
        <v>0</v>
      </c>
      <c r="R30" s="139">
        <f t="shared" si="3"/>
        <v>0</v>
      </c>
      <c r="S30" s="139">
        <f t="shared" si="4"/>
        <v>0</v>
      </c>
      <c r="T30" s="139">
        <f t="shared" si="5"/>
        <v>1</v>
      </c>
      <c r="U30" s="72" t="str">
        <f t="shared" si="6"/>
        <v/>
      </c>
      <c r="V30" s="72">
        <f t="shared" si="7"/>
        <v>1</v>
      </c>
    </row>
    <row r="31" spans="1:22" x14ac:dyDescent="0.2">
      <c r="A31" s="31"/>
      <c r="B31" s="25"/>
      <c r="C31" s="25"/>
      <c r="D31" s="25"/>
      <c r="E31" s="25"/>
      <c r="F31" s="25"/>
      <c r="G31" s="25"/>
      <c r="H31" s="320" t="s">
        <v>14</v>
      </c>
      <c r="I31" s="321"/>
      <c r="J31" s="321"/>
      <c r="K31" s="321"/>
      <c r="L31" s="321"/>
      <c r="M31" s="288"/>
      <c r="N31" s="288"/>
      <c r="O31" s="330"/>
      <c r="P31" s="331"/>
      <c r="Q31" s="139">
        <f t="shared" si="2"/>
        <v>0</v>
      </c>
      <c r="R31" s="139">
        <f t="shared" si="3"/>
        <v>0</v>
      </c>
      <c r="S31" s="139">
        <f t="shared" si="4"/>
        <v>0</v>
      </c>
      <c r="T31" s="139">
        <f t="shared" si="5"/>
        <v>1</v>
      </c>
      <c r="U31" s="72" t="str">
        <f t="shared" si="6"/>
        <v/>
      </c>
      <c r="V31" s="72">
        <f t="shared" si="7"/>
        <v>1</v>
      </c>
    </row>
    <row r="32" spans="1:22" x14ac:dyDescent="0.2">
      <c r="H32" s="320" t="s">
        <v>130</v>
      </c>
      <c r="I32" s="321"/>
      <c r="J32" s="321"/>
      <c r="K32" s="321"/>
      <c r="L32" s="321"/>
      <c r="M32" s="288"/>
      <c r="N32" s="288"/>
      <c r="O32" s="330"/>
      <c r="P32" s="331"/>
      <c r="Q32" s="139">
        <f t="shared" si="2"/>
        <v>0</v>
      </c>
      <c r="R32" s="139">
        <f t="shared" si="3"/>
        <v>0</v>
      </c>
      <c r="S32" s="139">
        <f t="shared" si="4"/>
        <v>0</v>
      </c>
      <c r="T32" s="139">
        <f t="shared" si="5"/>
        <v>1</v>
      </c>
      <c r="U32" s="72" t="str">
        <f t="shared" si="6"/>
        <v/>
      </c>
      <c r="V32" s="72">
        <f t="shared" si="7"/>
        <v>1</v>
      </c>
    </row>
    <row r="33" spans="1:22" x14ac:dyDescent="0.2">
      <c r="H33" s="32" t="s">
        <v>128</v>
      </c>
      <c r="I33" s="33" t="s">
        <v>46</v>
      </c>
      <c r="J33" s="33"/>
      <c r="K33" s="33"/>
      <c r="L33" s="33"/>
      <c r="M33" s="33" t="s">
        <v>43</v>
      </c>
      <c r="N33" s="33"/>
      <c r="O33" s="33"/>
      <c r="P33" s="34"/>
      <c r="Q33" s="140">
        <f>SUM(Q22:Q32)</f>
        <v>0</v>
      </c>
      <c r="R33" s="140">
        <f>SUM(R22:R32)</f>
        <v>0</v>
      </c>
      <c r="S33" s="141"/>
      <c r="T33" s="141"/>
      <c r="U33" s="140">
        <f t="shared" ref="U33:V33" si="8">SUM(U22:U32)</f>
        <v>0</v>
      </c>
      <c r="V33" s="140">
        <f t="shared" si="8"/>
        <v>11</v>
      </c>
    </row>
    <row r="34" spans="1:22" x14ac:dyDescent="0.2">
      <c r="H34" s="34"/>
      <c r="I34" s="33" t="s">
        <v>47</v>
      </c>
      <c r="J34" s="33"/>
      <c r="K34" s="33"/>
      <c r="L34" s="33"/>
      <c r="M34" s="33" t="s">
        <v>44</v>
      </c>
      <c r="N34" s="33"/>
      <c r="O34" s="33"/>
      <c r="P34" s="34"/>
    </row>
    <row r="35" spans="1:22" x14ac:dyDescent="0.2">
      <c r="A35" s="35" t="s">
        <v>163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22" x14ac:dyDescent="0.2">
      <c r="A36" s="3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22" ht="27" customHeight="1" x14ac:dyDescent="0.2">
      <c r="A37" s="257" t="s">
        <v>164</v>
      </c>
      <c r="B37" s="247"/>
      <c r="C37" s="247"/>
      <c r="D37" s="247"/>
      <c r="E37" s="247"/>
      <c r="F37" s="247"/>
      <c r="G37" s="247"/>
      <c r="H37" s="247"/>
      <c r="I37" s="247"/>
      <c r="J37" s="223"/>
      <c r="K37" s="355" t="s">
        <v>67</v>
      </c>
      <c r="L37" s="223"/>
      <c r="M37" s="314" t="s">
        <v>162</v>
      </c>
      <c r="N37" s="223"/>
      <c r="O37" s="314" t="s">
        <v>16</v>
      </c>
      <c r="P37" s="223"/>
    </row>
    <row r="38" spans="1:22" x14ac:dyDescent="0.2">
      <c r="A38" s="340" t="s">
        <v>434</v>
      </c>
      <c r="B38" s="341"/>
      <c r="C38" s="341"/>
      <c r="D38" s="341"/>
      <c r="E38" s="341"/>
      <c r="F38" s="341"/>
      <c r="G38" s="341"/>
      <c r="H38" s="341"/>
      <c r="I38" s="341"/>
      <c r="J38" s="342"/>
      <c r="K38" s="328"/>
      <c r="L38" s="329"/>
      <c r="M38" s="356"/>
      <c r="N38" s="329"/>
      <c r="O38" s="346">
        <f>SUM(K38:N38)</f>
        <v>0</v>
      </c>
      <c r="P38" s="325"/>
    </row>
    <row r="39" spans="1:22" x14ac:dyDescent="0.2">
      <c r="A39" s="157" t="s">
        <v>110</v>
      </c>
      <c r="B39" s="338"/>
      <c r="C39" s="338"/>
      <c r="D39" s="338"/>
      <c r="E39" s="338"/>
      <c r="F39" s="338"/>
      <c r="G39" s="338"/>
      <c r="H39" s="338"/>
      <c r="I39" s="338"/>
      <c r="J39" s="339"/>
      <c r="K39" s="328"/>
      <c r="L39" s="329"/>
      <c r="M39" s="356"/>
      <c r="N39" s="329"/>
      <c r="O39" s="324">
        <f>K39+M39</f>
        <v>0</v>
      </c>
      <c r="P39" s="325"/>
    </row>
    <row r="40" spans="1:22" x14ac:dyDescent="0.2">
      <c r="A40" s="157" t="s">
        <v>111</v>
      </c>
      <c r="B40" s="338"/>
      <c r="C40" s="338"/>
      <c r="D40" s="338"/>
      <c r="E40" s="338"/>
      <c r="F40" s="338"/>
      <c r="G40" s="338"/>
      <c r="H40" s="338"/>
      <c r="I40" s="338"/>
      <c r="J40" s="339"/>
      <c r="K40" s="328"/>
      <c r="L40" s="329"/>
      <c r="M40" s="356"/>
      <c r="N40" s="329"/>
      <c r="O40" s="324">
        <f>K40+M40</f>
        <v>0</v>
      </c>
      <c r="P40" s="325"/>
    </row>
    <row r="41" spans="1:22" x14ac:dyDescent="0.2">
      <c r="A41" s="160" t="s">
        <v>112</v>
      </c>
      <c r="B41" s="351"/>
      <c r="C41" s="351"/>
      <c r="D41" s="351"/>
      <c r="E41" s="351"/>
      <c r="F41" s="351"/>
      <c r="G41" s="351"/>
      <c r="H41" s="351"/>
      <c r="I41" s="351"/>
      <c r="J41" s="352"/>
      <c r="K41" s="353">
        <f>K39+K40</f>
        <v>0</v>
      </c>
      <c r="L41" s="354"/>
      <c r="M41" s="349">
        <f>M39+M40</f>
        <v>0</v>
      </c>
      <c r="N41" s="350"/>
      <c r="O41" s="349">
        <f>K41+M41</f>
        <v>0</v>
      </c>
      <c r="P41" s="350"/>
    </row>
    <row r="42" spans="1:22" x14ac:dyDescent="0.2">
      <c r="A42" s="157" t="s">
        <v>113</v>
      </c>
      <c r="B42" s="338"/>
      <c r="C42" s="338"/>
      <c r="D42" s="338"/>
      <c r="E42" s="338"/>
      <c r="F42" s="338"/>
      <c r="G42" s="338"/>
      <c r="H42" s="338"/>
      <c r="I42" s="338"/>
      <c r="J42" s="339"/>
      <c r="K42" s="328"/>
      <c r="L42" s="329"/>
      <c r="M42" s="347"/>
      <c r="N42" s="348"/>
      <c r="O42" s="324">
        <f>K42+M42</f>
        <v>0</v>
      </c>
      <c r="P42" s="325"/>
    </row>
    <row r="43" spans="1:22" x14ac:dyDescent="0.2">
      <c r="A43" s="157" t="s">
        <v>142</v>
      </c>
      <c r="B43" s="338"/>
      <c r="C43" s="338"/>
      <c r="D43" s="338"/>
      <c r="E43" s="338"/>
      <c r="F43" s="338"/>
      <c r="G43" s="338"/>
      <c r="H43" s="338"/>
      <c r="I43" s="338"/>
      <c r="J43" s="339"/>
      <c r="K43" s="326"/>
      <c r="L43" s="327"/>
      <c r="M43" s="332"/>
      <c r="N43" s="327"/>
      <c r="O43" s="334">
        <f>SUM(K43:N43)</f>
        <v>0</v>
      </c>
      <c r="P43" s="335"/>
    </row>
    <row r="44" spans="1:22" x14ac:dyDescent="0.2">
      <c r="A44" s="320" t="s">
        <v>85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23"/>
      <c r="L44" s="323"/>
      <c r="M44" s="332"/>
      <c r="N44" s="327"/>
      <c r="O44" s="334">
        <f>SUM(K44:N44)</f>
        <v>0</v>
      </c>
      <c r="P44" s="335"/>
    </row>
    <row r="45" spans="1:22" x14ac:dyDescent="0.2">
      <c r="A45" s="31" t="s">
        <v>68</v>
      </c>
      <c r="B45" s="25"/>
      <c r="C45" s="25"/>
      <c r="D45" s="25"/>
      <c r="E45" s="25"/>
      <c r="F45" s="36"/>
      <c r="G45" s="25"/>
      <c r="H45" s="25"/>
      <c r="I45" s="25"/>
      <c r="J45" s="25"/>
      <c r="K45" s="25"/>
      <c r="L45" s="25"/>
      <c r="M45" s="25"/>
      <c r="N45" s="25"/>
    </row>
    <row r="46" spans="1:22" x14ac:dyDescent="0.2">
      <c r="A46" s="343" t="s">
        <v>109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" t="str">
        <f>IF(K42&gt;K41,"Wert in K42 darf nicht größer sein als in K41","")</f>
        <v/>
      </c>
      <c r="L46" s="25"/>
      <c r="M46" s="25"/>
      <c r="N46" s="25"/>
      <c r="O46" s="25"/>
      <c r="P46" s="25"/>
    </row>
    <row r="47" spans="1:22" x14ac:dyDescent="0.2">
      <c r="A47" s="343" t="s">
        <v>146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7"/>
      <c r="L47" s="25"/>
      <c r="M47" s="25"/>
      <c r="N47" s="25"/>
      <c r="O47" s="25"/>
      <c r="P47" s="25"/>
    </row>
    <row r="48" spans="1:22" x14ac:dyDescent="0.2">
      <c r="A48" s="25"/>
      <c r="B48" s="25"/>
      <c r="C48" s="25"/>
      <c r="D48" s="25"/>
      <c r="E48" s="25"/>
      <c r="F48" s="36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x14ac:dyDescent="0.2">
      <c r="A49" s="24" t="s">
        <v>165</v>
      </c>
      <c r="B49" s="25"/>
      <c r="C49" s="25"/>
      <c r="D49" s="25"/>
      <c r="E49" s="25"/>
      <c r="F49" s="25"/>
      <c r="G49" s="38"/>
      <c r="H49" s="25"/>
      <c r="I49" s="39"/>
    </row>
    <row r="50" spans="1:16" x14ac:dyDescent="0.2">
      <c r="A50" s="172" t="s">
        <v>435</v>
      </c>
      <c r="B50" s="173"/>
      <c r="C50" s="173"/>
      <c r="D50" s="173"/>
      <c r="E50" s="173"/>
      <c r="F50" s="174"/>
      <c r="G50" s="40" t="s">
        <v>15</v>
      </c>
      <c r="H50" s="41" t="s">
        <v>17</v>
      </c>
    </row>
    <row r="51" spans="1:16" x14ac:dyDescent="0.2">
      <c r="A51" s="144" t="s">
        <v>436</v>
      </c>
      <c r="B51" s="177" t="s">
        <v>442</v>
      </c>
      <c r="C51" s="178"/>
      <c r="D51" s="178"/>
      <c r="E51" s="178"/>
      <c r="F51" s="179"/>
      <c r="G51" s="108"/>
      <c r="H51" s="42">
        <f t="shared" ref="H51:H56" si="9">IF($G$51=0,0,G51/$G$57)</f>
        <v>0</v>
      </c>
    </row>
    <row r="52" spans="1:16" x14ac:dyDescent="0.2">
      <c r="A52" s="144" t="s">
        <v>436</v>
      </c>
      <c r="B52" s="177" t="s">
        <v>443</v>
      </c>
      <c r="C52" s="178"/>
      <c r="D52" s="178"/>
      <c r="E52" s="178"/>
      <c r="F52" s="179"/>
      <c r="G52" s="109"/>
      <c r="H52" s="42">
        <f t="shared" si="9"/>
        <v>0</v>
      </c>
    </row>
    <row r="53" spans="1:16" x14ac:dyDescent="0.2">
      <c r="A53" s="144" t="s">
        <v>436</v>
      </c>
      <c r="B53" s="177" t="s">
        <v>444</v>
      </c>
      <c r="C53" s="178"/>
      <c r="D53" s="178"/>
      <c r="E53" s="178"/>
      <c r="F53" s="179"/>
      <c r="G53" s="109"/>
      <c r="H53" s="42">
        <f t="shared" si="9"/>
        <v>0</v>
      </c>
    </row>
    <row r="54" spans="1:16" x14ac:dyDescent="0.2">
      <c r="A54" s="144" t="s">
        <v>437</v>
      </c>
      <c r="B54" s="177" t="s">
        <v>445</v>
      </c>
      <c r="C54" s="178"/>
      <c r="D54" s="178"/>
      <c r="E54" s="178"/>
      <c r="F54" s="179"/>
      <c r="G54" s="109"/>
      <c r="H54" s="42">
        <f t="shared" si="9"/>
        <v>0</v>
      </c>
    </row>
    <row r="55" spans="1:16" x14ac:dyDescent="0.2">
      <c r="A55" s="144" t="s">
        <v>438</v>
      </c>
      <c r="B55" s="177" t="s">
        <v>446</v>
      </c>
      <c r="C55" s="178"/>
      <c r="D55" s="178"/>
      <c r="E55" s="178"/>
      <c r="F55" s="179"/>
      <c r="G55" s="109"/>
      <c r="H55" s="42">
        <f t="shared" si="9"/>
        <v>0</v>
      </c>
    </row>
    <row r="56" spans="1:16" x14ac:dyDescent="0.2">
      <c r="A56" s="144" t="s">
        <v>438</v>
      </c>
      <c r="B56" s="177" t="s">
        <v>447</v>
      </c>
      <c r="C56" s="178"/>
      <c r="D56" s="178"/>
      <c r="E56" s="178"/>
      <c r="F56" s="179"/>
      <c r="G56" s="109"/>
      <c r="H56" s="42">
        <f t="shared" si="9"/>
        <v>0</v>
      </c>
    </row>
    <row r="57" spans="1:16" x14ac:dyDescent="0.2">
      <c r="A57" s="172" t="s">
        <v>439</v>
      </c>
      <c r="B57" s="173"/>
      <c r="C57" s="173"/>
      <c r="D57" s="173"/>
      <c r="E57" s="173"/>
      <c r="F57" s="174"/>
      <c r="G57" s="110">
        <f>SUM(G51:G56)</f>
        <v>0</v>
      </c>
      <c r="H57" s="43">
        <v>1</v>
      </c>
    </row>
    <row r="58" spans="1:16" x14ac:dyDescent="0.2">
      <c r="A58" s="175" t="s">
        <v>440</v>
      </c>
      <c r="B58" s="175"/>
      <c r="C58" s="175"/>
      <c r="D58" s="175"/>
      <c r="E58" s="175"/>
      <c r="F58" s="176"/>
      <c r="G58" s="109"/>
      <c r="H58" s="42"/>
    </row>
    <row r="59" spans="1:16" x14ac:dyDescent="0.2">
      <c r="A59" s="180" t="s">
        <v>441</v>
      </c>
      <c r="B59" s="181"/>
      <c r="C59" s="181"/>
      <c r="D59" s="181"/>
      <c r="E59" s="181"/>
      <c r="F59" s="181"/>
      <c r="G59" s="142">
        <f>SUM(G57:G58)</f>
        <v>0</v>
      </c>
      <c r="H59" s="143">
        <f>SUM(H57:H58)</f>
        <v>1</v>
      </c>
    </row>
    <row r="61" spans="1:16" x14ac:dyDescent="0.2">
      <c r="A61" s="24" t="s">
        <v>431</v>
      </c>
      <c r="B61" s="25"/>
      <c r="C61" s="25"/>
      <c r="D61" s="25"/>
      <c r="E61" s="25"/>
      <c r="F61" s="25"/>
      <c r="G61" s="25"/>
      <c r="H61" s="25"/>
      <c r="I61" s="37" t="str">
        <f>IF(SUM(M63:M70)=M71,"","Summe von M61 - M68 ergibt nicht die Gesamtanzahl")</f>
        <v/>
      </c>
      <c r="J61" s="45"/>
      <c r="K61" s="45"/>
      <c r="L61" s="45"/>
      <c r="M61" s="45"/>
      <c r="N61" s="45"/>
      <c r="O61" s="45"/>
      <c r="P61" s="25"/>
    </row>
    <row r="62" spans="1:16" x14ac:dyDescent="0.2">
      <c r="A62" s="37" t="str">
        <f>IF(SUM(E65:E81)=E82,"","Summe der Einträge in B63 - D79 enspricht nicht der Gesamtfallzahl dieser Tabelle")</f>
        <v/>
      </c>
      <c r="H62" s="25"/>
      <c r="I62" s="169" t="s">
        <v>23</v>
      </c>
      <c r="J62" s="345"/>
      <c r="K62" s="345"/>
      <c r="L62" s="307"/>
      <c r="M62" s="46" t="s">
        <v>15</v>
      </c>
      <c r="N62" s="41" t="s">
        <v>17</v>
      </c>
      <c r="O62" s="41" t="s">
        <v>49</v>
      </c>
    </row>
    <row r="63" spans="1:16" ht="12.75" customHeight="1" x14ac:dyDescent="0.2">
      <c r="A63" s="336" t="s">
        <v>69</v>
      </c>
      <c r="B63" s="280" t="s">
        <v>48</v>
      </c>
      <c r="C63" s="225"/>
      <c r="D63" s="225"/>
      <c r="E63" s="225"/>
      <c r="F63" s="225"/>
      <c r="G63" s="294"/>
      <c r="H63" s="25"/>
      <c r="I63" s="320" t="s">
        <v>70</v>
      </c>
      <c r="J63" s="333"/>
      <c r="K63" s="333"/>
      <c r="L63" s="333"/>
      <c r="M63" s="7"/>
      <c r="N63" s="42">
        <f>IF($M$71=0,0,M63/$M$71)</f>
        <v>0</v>
      </c>
      <c r="O63" s="42">
        <f>IF($M$71-$M$70=0,0,M63/($M$71-$M$70))</f>
        <v>0</v>
      </c>
    </row>
    <row r="64" spans="1:16" x14ac:dyDescent="0.2">
      <c r="A64" s="337"/>
      <c r="B64" s="130" t="s">
        <v>25</v>
      </c>
      <c r="C64" s="130" t="s">
        <v>24</v>
      </c>
      <c r="D64" s="130" t="s">
        <v>389</v>
      </c>
      <c r="E64" s="41" t="s">
        <v>15</v>
      </c>
      <c r="F64" s="46" t="s">
        <v>17</v>
      </c>
      <c r="G64" s="46" t="s">
        <v>197</v>
      </c>
      <c r="H64" s="25"/>
      <c r="I64" s="320" t="s">
        <v>388</v>
      </c>
      <c r="J64" s="333"/>
      <c r="K64" s="333"/>
      <c r="L64" s="333"/>
      <c r="M64" s="7"/>
      <c r="N64" s="42">
        <f t="shared" ref="N64:N71" si="10">IF($M$71=0,0,M64/$M$71)</f>
        <v>0</v>
      </c>
      <c r="O64" s="42">
        <f t="shared" ref="O64:O70" si="11">IF($M$71-$M$70=0,0,M64/($M$71-$M$70))</f>
        <v>0</v>
      </c>
    </row>
    <row r="65" spans="1:16" s="25" customFormat="1" ht="12" x14ac:dyDescent="0.2">
      <c r="A65" s="26" t="s">
        <v>372</v>
      </c>
      <c r="B65" s="6"/>
      <c r="C65" s="6"/>
      <c r="D65" s="6"/>
      <c r="E65" s="44">
        <f>SUM(B65:D65)</f>
        <v>0</v>
      </c>
      <c r="F65" s="42">
        <f>IF(E$82=0,0,E65/E$82)</f>
        <v>0</v>
      </c>
      <c r="G65" s="42">
        <f>IF((E$82-E$81)=0,0,E65/(E$82-E$81))</f>
        <v>0</v>
      </c>
      <c r="I65" s="157" t="s">
        <v>172</v>
      </c>
      <c r="J65" s="158"/>
      <c r="K65" s="158"/>
      <c r="L65" s="159"/>
      <c r="M65" s="7"/>
      <c r="N65" s="42">
        <f t="shared" si="10"/>
        <v>0</v>
      </c>
      <c r="O65" s="42">
        <f t="shared" si="11"/>
        <v>0</v>
      </c>
    </row>
    <row r="66" spans="1:16" x14ac:dyDescent="0.2">
      <c r="A66" s="26" t="s">
        <v>373</v>
      </c>
      <c r="B66" s="6"/>
      <c r="C66" s="6"/>
      <c r="D66" s="6"/>
      <c r="E66" s="44">
        <f t="shared" ref="E66:E81" si="12">SUM(B66:D66)</f>
        <v>0</v>
      </c>
      <c r="F66" s="42">
        <f t="shared" ref="F66:F81" si="13">IF(E$82=0,0,E66/E$82)</f>
        <v>0</v>
      </c>
      <c r="G66" s="42">
        <f t="shared" ref="G66:G80" si="14">IF((E$82-E$81)=0,0,E66/(E$82-E$81))</f>
        <v>0</v>
      </c>
      <c r="H66" s="25"/>
      <c r="I66" s="157" t="s">
        <v>71</v>
      </c>
      <c r="J66" s="158"/>
      <c r="K66" s="158"/>
      <c r="L66" s="159"/>
      <c r="M66" s="7"/>
      <c r="N66" s="42">
        <f t="shared" si="10"/>
        <v>0</v>
      </c>
      <c r="O66" s="42">
        <f t="shared" si="11"/>
        <v>0</v>
      </c>
    </row>
    <row r="67" spans="1:16" x14ac:dyDescent="0.2">
      <c r="A67" s="26" t="s">
        <v>374</v>
      </c>
      <c r="B67" s="6"/>
      <c r="C67" s="6"/>
      <c r="D67" s="6"/>
      <c r="E67" s="44">
        <f t="shared" si="12"/>
        <v>0</v>
      </c>
      <c r="F67" s="42">
        <f t="shared" si="13"/>
        <v>0</v>
      </c>
      <c r="G67" s="42">
        <f t="shared" si="14"/>
        <v>0</v>
      </c>
      <c r="H67" s="25"/>
      <c r="I67" s="157" t="s">
        <v>175</v>
      </c>
      <c r="J67" s="158"/>
      <c r="K67" s="158"/>
      <c r="L67" s="159"/>
      <c r="M67" s="7"/>
      <c r="N67" s="42">
        <f t="shared" si="10"/>
        <v>0</v>
      </c>
      <c r="O67" s="42">
        <f t="shared" si="11"/>
        <v>0</v>
      </c>
    </row>
    <row r="68" spans="1:16" x14ac:dyDescent="0.2">
      <c r="A68" s="26" t="s">
        <v>375</v>
      </c>
      <c r="B68" s="6"/>
      <c r="C68" s="6"/>
      <c r="D68" s="6"/>
      <c r="E68" s="44">
        <f>SUM(B68:D68)</f>
        <v>0</v>
      </c>
      <c r="F68" s="42">
        <f t="shared" si="13"/>
        <v>0</v>
      </c>
      <c r="G68" s="42">
        <f t="shared" si="14"/>
        <v>0</v>
      </c>
      <c r="H68" s="25"/>
      <c r="I68" s="157" t="s">
        <v>170</v>
      </c>
      <c r="J68" s="158"/>
      <c r="K68" s="158"/>
      <c r="L68" s="159"/>
      <c r="M68" s="7"/>
      <c r="N68" s="42">
        <f t="shared" si="10"/>
        <v>0</v>
      </c>
      <c r="O68" s="42">
        <f t="shared" si="11"/>
        <v>0</v>
      </c>
    </row>
    <row r="69" spans="1:16" ht="13.5" thickBot="1" x14ac:dyDescent="0.25">
      <c r="A69" s="26" t="s">
        <v>376</v>
      </c>
      <c r="B69" s="6"/>
      <c r="C69" s="6"/>
      <c r="D69" s="6"/>
      <c r="E69" s="44">
        <f t="shared" si="12"/>
        <v>0</v>
      </c>
      <c r="F69" s="42">
        <f t="shared" si="13"/>
        <v>0</v>
      </c>
      <c r="G69" s="42">
        <f t="shared" si="14"/>
        <v>0</v>
      </c>
      <c r="H69" s="25"/>
      <c r="I69" s="253" t="s">
        <v>177</v>
      </c>
      <c r="J69" s="254"/>
      <c r="K69" s="254"/>
      <c r="L69" s="254"/>
      <c r="M69" s="8"/>
      <c r="N69" s="47">
        <f t="shared" si="10"/>
        <v>0</v>
      </c>
      <c r="O69" s="47">
        <f t="shared" si="11"/>
        <v>0</v>
      </c>
    </row>
    <row r="70" spans="1:16" ht="13.5" thickTop="1" x14ac:dyDescent="0.2">
      <c r="A70" s="26" t="s">
        <v>377</v>
      </c>
      <c r="B70" s="6"/>
      <c r="C70" s="6"/>
      <c r="D70" s="6"/>
      <c r="E70" s="44">
        <f t="shared" si="12"/>
        <v>0</v>
      </c>
      <c r="F70" s="42">
        <f t="shared" si="13"/>
        <v>0</v>
      </c>
      <c r="G70" s="42">
        <f t="shared" si="14"/>
        <v>0</v>
      </c>
      <c r="H70" s="25"/>
      <c r="I70" s="255" t="s">
        <v>61</v>
      </c>
      <c r="J70" s="256"/>
      <c r="K70" s="256"/>
      <c r="L70" s="256"/>
      <c r="M70" s="9"/>
      <c r="N70" s="48">
        <f t="shared" si="10"/>
        <v>0</v>
      </c>
      <c r="O70" s="49">
        <f t="shared" si="11"/>
        <v>0</v>
      </c>
    </row>
    <row r="71" spans="1:16" x14ac:dyDescent="0.2">
      <c r="A71" s="26" t="s">
        <v>378</v>
      </c>
      <c r="B71" s="6"/>
      <c r="C71" s="6"/>
      <c r="D71" s="6"/>
      <c r="E71" s="44">
        <f t="shared" si="12"/>
        <v>0</v>
      </c>
      <c r="F71" s="42">
        <f t="shared" si="13"/>
        <v>0</v>
      </c>
      <c r="G71" s="42">
        <f t="shared" si="14"/>
        <v>0</v>
      </c>
      <c r="H71" s="25"/>
      <c r="I71" s="257" t="s">
        <v>16</v>
      </c>
      <c r="J71" s="247"/>
      <c r="K71" s="247"/>
      <c r="L71" s="223"/>
      <c r="M71" s="44">
        <f>O38</f>
        <v>0</v>
      </c>
      <c r="N71" s="50">
        <f t="shared" si="10"/>
        <v>0</v>
      </c>
      <c r="O71" s="43"/>
    </row>
    <row r="72" spans="1:16" s="25" customFormat="1" ht="12" x14ac:dyDescent="0.2">
      <c r="A72" s="26" t="s">
        <v>379</v>
      </c>
      <c r="B72" s="6"/>
      <c r="C72" s="6"/>
      <c r="D72" s="6"/>
      <c r="E72" s="44">
        <f t="shared" si="12"/>
        <v>0</v>
      </c>
      <c r="F72" s="42">
        <f t="shared" si="13"/>
        <v>0</v>
      </c>
      <c r="G72" s="42">
        <f t="shared" si="14"/>
        <v>0</v>
      </c>
      <c r="I72" s="31" t="s">
        <v>173</v>
      </c>
    </row>
    <row r="73" spans="1:16" x14ac:dyDescent="0.2">
      <c r="A73" s="26" t="s">
        <v>380</v>
      </c>
      <c r="B73" s="6"/>
      <c r="C73" s="6"/>
      <c r="D73" s="6"/>
      <c r="E73" s="44">
        <f t="shared" si="12"/>
        <v>0</v>
      </c>
      <c r="F73" s="42">
        <f t="shared" si="13"/>
        <v>0</v>
      </c>
      <c r="G73" s="42">
        <f t="shared" si="14"/>
        <v>0</v>
      </c>
      <c r="H73" s="25"/>
      <c r="I73" s="31" t="s">
        <v>176</v>
      </c>
      <c r="J73" s="25"/>
      <c r="K73" s="25"/>
      <c r="L73" s="25"/>
      <c r="M73" s="25"/>
      <c r="N73" s="25"/>
      <c r="O73" s="25"/>
    </row>
    <row r="74" spans="1:16" x14ac:dyDescent="0.2">
      <c r="A74" s="26" t="s">
        <v>381</v>
      </c>
      <c r="B74" s="6"/>
      <c r="C74" s="6"/>
      <c r="D74" s="6"/>
      <c r="E74" s="44">
        <f t="shared" si="12"/>
        <v>0</v>
      </c>
      <c r="F74" s="42">
        <f t="shared" si="13"/>
        <v>0</v>
      </c>
      <c r="G74" s="42">
        <f t="shared" si="14"/>
        <v>0</v>
      </c>
      <c r="H74" s="25"/>
      <c r="I74" s="31" t="s">
        <v>174</v>
      </c>
      <c r="J74" s="25"/>
      <c r="K74" s="25"/>
      <c r="L74" s="25"/>
      <c r="M74" s="25"/>
      <c r="N74" s="25"/>
      <c r="O74" s="25"/>
    </row>
    <row r="75" spans="1:16" x14ac:dyDescent="0.2">
      <c r="A75" s="26" t="s">
        <v>382</v>
      </c>
      <c r="B75" s="6"/>
      <c r="C75" s="6"/>
      <c r="D75" s="6"/>
      <c r="E75" s="44">
        <f t="shared" si="12"/>
        <v>0</v>
      </c>
      <c r="F75" s="42">
        <f t="shared" si="13"/>
        <v>0</v>
      </c>
      <c r="G75" s="42">
        <f t="shared" si="14"/>
        <v>0</v>
      </c>
      <c r="H75" s="25"/>
      <c r="I75" s="37" t="str">
        <f>IF(SUM(M77:M103)=M104,"","Summe der Einträge in M77 - M103 ergibt nicht die Gesamtfallzahl dieser Tabelle")</f>
        <v/>
      </c>
      <c r="J75" s="25"/>
      <c r="K75" s="25"/>
      <c r="L75" s="25"/>
      <c r="M75" s="25"/>
      <c r="N75" s="25"/>
    </row>
    <row r="76" spans="1:16" x14ac:dyDescent="0.2">
      <c r="A76" s="26" t="s">
        <v>383</v>
      </c>
      <c r="B76" s="6"/>
      <c r="C76" s="6"/>
      <c r="D76" s="6"/>
      <c r="E76" s="44">
        <f t="shared" si="12"/>
        <v>0</v>
      </c>
      <c r="F76" s="42">
        <f t="shared" si="13"/>
        <v>0</v>
      </c>
      <c r="G76" s="42">
        <f t="shared" si="14"/>
        <v>0</v>
      </c>
      <c r="H76" s="25"/>
      <c r="I76" s="169" t="s">
        <v>39</v>
      </c>
      <c r="J76" s="300"/>
      <c r="K76" s="300"/>
      <c r="L76" s="301"/>
      <c r="M76" s="46" t="s">
        <v>15</v>
      </c>
      <c r="N76" s="41" t="s">
        <v>17</v>
      </c>
      <c r="O76" s="41" t="s">
        <v>49</v>
      </c>
    </row>
    <row r="77" spans="1:16" x14ac:dyDescent="0.2">
      <c r="A77" s="26" t="s">
        <v>384</v>
      </c>
      <c r="B77" s="6"/>
      <c r="C77" s="6"/>
      <c r="D77" s="6"/>
      <c r="E77" s="44">
        <f t="shared" si="12"/>
        <v>0</v>
      </c>
      <c r="F77" s="42">
        <f t="shared" si="13"/>
        <v>0</v>
      </c>
      <c r="G77" s="42">
        <f t="shared" si="14"/>
        <v>0</v>
      </c>
      <c r="H77" s="25"/>
      <c r="I77" s="258" t="str">
        <f>IF(O1=1,"LKR Aichach-Friedberg",IF(O1=2,"LKR Altötting",IF(O1=3,"LKR Deggendorf",IF(O1=4,"LKR Amberg-Sulzbach",IF(O1=5,"LKR Bamberg",IF(O1=6,"LKR Ansbach",IF(O1=7,"LKR Aschaffenburg",IF(O1=0,""))))))))</f>
        <v/>
      </c>
      <c r="J77" s="259"/>
      <c r="K77" s="259"/>
      <c r="L77" s="260"/>
      <c r="M77" s="7"/>
      <c r="N77" s="42">
        <f t="shared" ref="N77:N96" si="15">IF($M$104=0,0,M77/$M$104)</f>
        <v>0</v>
      </c>
      <c r="O77" s="42">
        <f t="shared" ref="O77:O96" si="16">IF($M$104-$M$103=0,0,M77/($M$104-$M$103))</f>
        <v>0</v>
      </c>
      <c r="P77" s="25"/>
    </row>
    <row r="78" spans="1:16" ht="12.75" customHeight="1" x14ac:dyDescent="0.2">
      <c r="A78" s="26" t="s">
        <v>385</v>
      </c>
      <c r="B78" s="6"/>
      <c r="C78" s="6"/>
      <c r="D78" s="6"/>
      <c r="E78" s="44">
        <f t="shared" si="12"/>
        <v>0</v>
      </c>
      <c r="F78" s="42">
        <f t="shared" si="13"/>
        <v>0</v>
      </c>
      <c r="G78" s="42">
        <f t="shared" si="14"/>
        <v>0</v>
      </c>
      <c r="H78" s="25"/>
      <c r="I78" s="258" t="str">
        <f>IF(O1=1,"LKR Augsburg",IF(O1=2,"LKR Berchtesgadener Land",IF(O1=3,"LKR Dingolfing-Landau",IF(O1=4,"LKR Cham",IF(O1=5,"LKR Bayreuth",IF(O1=6,"LKR Erlangen-Höchstadt",IF(O1=7,"LKR Bad Kissingen",IF(O1=0,""))))))))</f>
        <v/>
      </c>
      <c r="J78" s="259"/>
      <c r="K78" s="259"/>
      <c r="L78" s="260"/>
      <c r="M78" s="7"/>
      <c r="N78" s="42">
        <f t="shared" si="15"/>
        <v>0</v>
      </c>
      <c r="O78" s="42">
        <f t="shared" si="16"/>
        <v>0</v>
      </c>
      <c r="P78" s="25"/>
    </row>
    <row r="79" spans="1:16" ht="12.75" customHeight="1" x14ac:dyDescent="0.2">
      <c r="A79" s="26" t="s">
        <v>386</v>
      </c>
      <c r="B79" s="6"/>
      <c r="C79" s="6"/>
      <c r="D79" s="6"/>
      <c r="E79" s="44">
        <f t="shared" si="12"/>
        <v>0</v>
      </c>
      <c r="F79" s="42">
        <f t="shared" si="13"/>
        <v>0</v>
      </c>
      <c r="G79" s="42">
        <f t="shared" si="14"/>
        <v>0</v>
      </c>
      <c r="H79" s="25"/>
      <c r="I79" s="258" t="str">
        <f>IF(O1=1,"LKR Dillingen a.d.Donau",IF(O1=2,"LKR Bad Tölz-Wolfratshausen",IF(O1=3,"LKR Freyung-Grafenau",IF(O1=4,"LKR Neumarkt i.d.OPf.",IF(O1=5,"LKR Coburg",IF(O1=6,"LKR Fürth",IF(O1=7,"LKR Rhön-Grabfeld",IF(O1=0,""))))))))</f>
        <v/>
      </c>
      <c r="J79" s="259"/>
      <c r="K79" s="259"/>
      <c r="L79" s="260"/>
      <c r="M79" s="7"/>
      <c r="N79" s="42">
        <f t="shared" si="15"/>
        <v>0</v>
      </c>
      <c r="O79" s="42">
        <f t="shared" si="16"/>
        <v>0</v>
      </c>
    </row>
    <row r="80" spans="1:16" ht="12.75" customHeight="1" thickBot="1" x14ac:dyDescent="0.25">
      <c r="A80" s="131" t="s">
        <v>387</v>
      </c>
      <c r="B80" s="13"/>
      <c r="C80" s="13"/>
      <c r="D80" s="13"/>
      <c r="E80" s="132">
        <f t="shared" si="12"/>
        <v>0</v>
      </c>
      <c r="F80" s="47">
        <f t="shared" si="13"/>
        <v>0</v>
      </c>
      <c r="G80" s="47">
        <f t="shared" si="14"/>
        <v>0</v>
      </c>
      <c r="H80" s="25"/>
      <c r="I80" s="258" t="str">
        <f>IF(O1=1,"LKR Donau-Ries",IF(O1=2,"LKR Dachau",IF(O1=3,"LKR Kelheim",IF(O1=4,"LKR Neustadt a.d.Waldnaab",IF(O1=5,"LKR Forchheim",IF(O1=6,"LKR Nürnberger Land",IF(O1=7,"LKR Haßberge",IF(O1=0,""))))))))</f>
        <v/>
      </c>
      <c r="J80" s="259"/>
      <c r="K80" s="259"/>
      <c r="L80" s="260"/>
      <c r="M80" s="7"/>
      <c r="N80" s="42">
        <f t="shared" si="15"/>
        <v>0</v>
      </c>
      <c r="O80" s="42">
        <f t="shared" si="16"/>
        <v>0</v>
      </c>
    </row>
    <row r="81" spans="1:17" ht="12.75" customHeight="1" thickTop="1" x14ac:dyDescent="0.2">
      <c r="A81" s="133" t="s">
        <v>61</v>
      </c>
      <c r="B81" s="6"/>
      <c r="C81" s="6"/>
      <c r="D81" s="6"/>
      <c r="E81" s="134">
        <f t="shared" si="12"/>
        <v>0</v>
      </c>
      <c r="F81" s="48">
        <f t="shared" si="13"/>
        <v>0</v>
      </c>
      <c r="G81" s="48"/>
      <c r="H81" s="25"/>
      <c r="I81" s="258" t="str">
        <f>IF(O1=1,"LKR Günzburg",IF(O1=2,"LKR Ebersberg",IF(O1=3,"LKR Landshut",IF(O1=4,"LKR Regensburg",IF(O1=5,"LKR Hof",IF(O1=6,"LKR Neustadt a.d. Aisch-Bad Windsheim",IF(O1=7,"LKR Kitzingen",IF(O1=0,""))))))))</f>
        <v/>
      </c>
      <c r="J81" s="259"/>
      <c r="K81" s="259"/>
      <c r="L81" s="260"/>
      <c r="M81" s="7"/>
      <c r="N81" s="42">
        <f t="shared" si="15"/>
        <v>0</v>
      </c>
      <c r="O81" s="42">
        <f t="shared" si="16"/>
        <v>0</v>
      </c>
    </row>
    <row r="82" spans="1:17" ht="12.75" customHeight="1" x14ac:dyDescent="0.2">
      <c r="A82" s="51" t="s">
        <v>15</v>
      </c>
      <c r="B82" s="44">
        <f>SUM(B65:B81)</f>
        <v>0</v>
      </c>
      <c r="C82" s="44">
        <f t="shared" ref="C82:D82" si="17">SUM(C65:C81)</f>
        <v>0</v>
      </c>
      <c r="D82" s="44">
        <f t="shared" si="17"/>
        <v>0</v>
      </c>
      <c r="E82" s="44">
        <f>O38</f>
        <v>0</v>
      </c>
      <c r="F82" s="43">
        <f>IF(E$82=0,0,E82/E$82)</f>
        <v>0</v>
      </c>
      <c r="G82" s="43">
        <f>F82</f>
        <v>0</v>
      </c>
      <c r="H82" s="25"/>
      <c r="I82" s="258" t="str">
        <f>IF(O1=1,"LKR Lindau (Bodensee)",IF(O1=2,"LKR Eichstätt",IF(O1=3,"LKR Passau",IF(O1=4,"LKR Schwandorf",IF(O1=5,"LKR Kronach",IF(O1=6,"LKR Roth",IF(O1=7,"LKR Miltenberg",IF(O1=0,""))))))))</f>
        <v/>
      </c>
      <c r="J82" s="259"/>
      <c r="K82" s="259"/>
      <c r="L82" s="260"/>
      <c r="M82" s="7"/>
      <c r="N82" s="42">
        <f t="shared" si="15"/>
        <v>0</v>
      </c>
      <c r="O82" s="42">
        <f t="shared" si="16"/>
        <v>0</v>
      </c>
    </row>
    <row r="83" spans="1:17" ht="12.75" customHeight="1" x14ac:dyDescent="0.2">
      <c r="A83" s="51" t="s">
        <v>17</v>
      </c>
      <c r="B83" s="43">
        <f>IF($E$82=0,0,B82/$E$82)</f>
        <v>0</v>
      </c>
      <c r="C83" s="43">
        <f>IF($E$82=0,0,C82/$E$82)</f>
        <v>0</v>
      </c>
      <c r="D83" s="43">
        <f>IF($E$82=0,0,D82/$E$82)</f>
        <v>0</v>
      </c>
      <c r="E83" s="43">
        <f>IF($E$82=0,0,E82/$E$82)</f>
        <v>0</v>
      </c>
      <c r="F83" s="43"/>
      <c r="G83" s="43"/>
      <c r="H83" s="25"/>
      <c r="I83" s="258" t="str">
        <f>IF(O1=1,"LKR Neu-Ulm",IF(O1=2,"LKR Erding",IF(O1=3,"LKR Regen",IF(O1=4,"LKR Tirschenreuth",IF(O1=5,"LKR Kulmbach",IF(O1=6,"LKR Weißenburg-Gunzenhausen",IF(O1=7,"LKR Main-Spessart",IF(O1=0,""))))))))</f>
        <v/>
      </c>
      <c r="J83" s="259"/>
      <c r="K83" s="259"/>
      <c r="L83" s="260"/>
      <c r="M83" s="7"/>
      <c r="N83" s="42">
        <f t="shared" si="15"/>
        <v>0</v>
      </c>
      <c r="O83" s="42">
        <f t="shared" si="16"/>
        <v>0</v>
      </c>
    </row>
    <row r="84" spans="1:17" ht="13.5" customHeight="1" x14ac:dyDescent="0.2">
      <c r="A84" s="51" t="s">
        <v>394</v>
      </c>
      <c r="B84" s="43" t="str">
        <f>IF($E$82-$D$82=0,"",B82/($E$82-$D$82))</f>
        <v/>
      </c>
      <c r="C84" s="43" t="str">
        <f>IF($E$82-$D$82=0,"",C82/($E$82-$D$82))</f>
        <v/>
      </c>
      <c r="D84" s="43"/>
      <c r="E84" s="43">
        <f>E83</f>
        <v>0</v>
      </c>
      <c r="F84" s="43"/>
      <c r="G84" s="43"/>
      <c r="H84" s="25"/>
      <c r="I84" s="258" t="str">
        <f>IF(O1=1,"LKR Oberallgäu",IF(O1=2,"LKR Freising",IF(O1=3,"LKR Rottal-Inn",IF(O1=4,"",IF(O1=5,"LKR Lichtenfels",IF(O1=6,"",IF(O1=7,"LKR Schweinfurt - Landkreis",IF(O1=0,""))))))))</f>
        <v/>
      </c>
      <c r="J84" s="259"/>
      <c r="K84" s="259"/>
      <c r="L84" s="260"/>
      <c r="M84" s="7"/>
      <c r="N84" s="42">
        <f t="shared" si="15"/>
        <v>0</v>
      </c>
      <c r="O84" s="42">
        <f t="shared" si="16"/>
        <v>0</v>
      </c>
    </row>
    <row r="85" spans="1:17" ht="13.5" customHeight="1" x14ac:dyDescent="0.2">
      <c r="A85" s="31" t="s">
        <v>393</v>
      </c>
      <c r="C85" s="25"/>
      <c r="D85" s="25"/>
      <c r="E85" s="25"/>
      <c r="F85" s="25"/>
      <c r="G85" s="25"/>
      <c r="H85" s="25"/>
      <c r="I85" s="258" t="str">
        <f>IF(O1=1,"LKR Ostallgäu",IF(O1=2,"LKR Fürstenfeldbruck",IF(O1=3,"LKR Straubing-Bogen",IF(O1=4,"",IF(O1=5,"LKR Wunsiedel i.Fichtelgebirge",IF(O1=6,"",IF(O1=7,"LKR Würzburg",IF(O1=0,""))))))))</f>
        <v/>
      </c>
      <c r="J85" s="259"/>
      <c r="K85" s="259"/>
      <c r="L85" s="260"/>
      <c r="M85" s="7"/>
      <c r="N85" s="42">
        <f t="shared" si="15"/>
        <v>0</v>
      </c>
      <c r="O85" s="42">
        <f t="shared" si="16"/>
        <v>0</v>
      </c>
    </row>
    <row r="86" spans="1:17" ht="12.75" customHeight="1" x14ac:dyDescent="0.2">
      <c r="A86" s="37" t="str">
        <f>IF(SUM(E88:E93)-E90=E94,"","Summe der Einträge in E86 - E91(ohne E88) entspricht nicht der Gesamtfallzahl dieser Tabelle")</f>
        <v/>
      </c>
      <c r="B86" s="25"/>
      <c r="C86" s="25"/>
      <c r="D86" s="25"/>
      <c r="E86" s="25"/>
      <c r="F86" s="25"/>
      <c r="G86" s="25"/>
      <c r="H86" s="25"/>
      <c r="I86" s="258" t="str">
        <f>IF(O1=1,"LKR Unterallgäu",IF(O1=2,"LKR Garmisch-Partenkirchen",IF(O1=3,"",IF(O1=4,"",IF(O1=5,"",IF(O1=6,"",IF(O1=7,"",IF(O1=0,""))))))))</f>
        <v/>
      </c>
      <c r="J86" s="259"/>
      <c r="K86" s="259"/>
      <c r="L86" s="260"/>
      <c r="M86" s="7"/>
      <c r="N86" s="42">
        <f t="shared" si="15"/>
        <v>0</v>
      </c>
      <c r="O86" s="42">
        <f t="shared" si="16"/>
        <v>0</v>
      </c>
    </row>
    <row r="87" spans="1:17" ht="12.75" customHeight="1" x14ac:dyDescent="0.2">
      <c r="A87" s="169" t="s">
        <v>118</v>
      </c>
      <c r="B87" s="170"/>
      <c r="C87" s="170"/>
      <c r="D87" s="171"/>
      <c r="E87" s="46" t="s">
        <v>15</v>
      </c>
      <c r="F87" s="41" t="s">
        <v>17</v>
      </c>
      <c r="G87" s="41" t="s">
        <v>49</v>
      </c>
      <c r="H87" s="25"/>
      <c r="I87" s="258" t="str">
        <f>IF(O1=1,"",IF(O1=2,"LKR Landsberg am Lech",IF(O1=3,"",IF(O1=4,"",IF(O1=5,"",IF(O1=6,"",IF(O1=7,"",IF(O1=0,""))))))))</f>
        <v/>
      </c>
      <c r="J87" s="259"/>
      <c r="K87" s="259"/>
      <c r="L87" s="260"/>
      <c r="M87" s="7"/>
      <c r="N87" s="42">
        <f t="shared" si="15"/>
        <v>0</v>
      </c>
      <c r="O87" s="42">
        <f t="shared" si="16"/>
        <v>0</v>
      </c>
    </row>
    <row r="88" spans="1:17" x14ac:dyDescent="0.2">
      <c r="A88" s="157" t="s">
        <v>101</v>
      </c>
      <c r="B88" s="158"/>
      <c r="C88" s="158"/>
      <c r="D88" s="159"/>
      <c r="E88" s="6"/>
      <c r="F88" s="42">
        <f t="shared" ref="F88:F94" si="18">IF($E$94=0,0,E88/$E$94)</f>
        <v>0</v>
      </c>
      <c r="G88" s="42">
        <f>IF($E$94-$E$93=0,0,E88/($E$94-$E$93))</f>
        <v>0</v>
      </c>
      <c r="H88" s="25"/>
      <c r="I88" s="258" t="str">
        <f>IF(O1=1,"",IF(O1=2,"LKR Miesbach",IF(O1=3,"",IF(O1=4,"",IF(O1=5,"",IF(O1=6,"",IF(O1=7,"",IF(O1=0,""))))))))</f>
        <v/>
      </c>
      <c r="J88" s="259"/>
      <c r="K88" s="259"/>
      <c r="L88" s="260"/>
      <c r="M88" s="7"/>
      <c r="N88" s="42">
        <f t="shared" si="15"/>
        <v>0</v>
      </c>
      <c r="O88" s="42">
        <f t="shared" si="16"/>
        <v>0</v>
      </c>
    </row>
    <row r="89" spans="1:17" x14ac:dyDescent="0.2">
      <c r="A89" s="157" t="s">
        <v>119</v>
      </c>
      <c r="B89" s="158"/>
      <c r="C89" s="158"/>
      <c r="D89" s="159"/>
      <c r="E89" s="6"/>
      <c r="F89" s="42">
        <f t="shared" si="18"/>
        <v>0</v>
      </c>
      <c r="G89" s="42">
        <f>IF($E$94-$E$93=0,0,E89/($E$94-$E$93))</f>
        <v>0</v>
      </c>
      <c r="H89" s="25"/>
      <c r="I89" s="258" t="str">
        <f>IF(O1=1,"",IF(O1=2,"LKR Mühldort am Inn",IF(O1=3,"",IF(O1=4,"",IF(O1=5,"",IF(O1=6,"",IF(O1=7,"",IF(O1=0,""))))))))</f>
        <v/>
      </c>
      <c r="J89" s="259"/>
      <c r="K89" s="259"/>
      <c r="L89" s="260"/>
      <c r="M89" s="7"/>
      <c r="N89" s="42">
        <f t="shared" si="15"/>
        <v>0</v>
      </c>
      <c r="O89" s="42">
        <f t="shared" si="16"/>
        <v>0</v>
      </c>
    </row>
    <row r="90" spans="1:17" ht="12.75" customHeight="1" x14ac:dyDescent="0.2">
      <c r="A90" s="154" t="s">
        <v>432</v>
      </c>
      <c r="B90" s="155"/>
      <c r="C90" s="155"/>
      <c r="D90" s="156"/>
      <c r="E90" s="18"/>
      <c r="F90" s="52">
        <f t="shared" si="18"/>
        <v>0</v>
      </c>
      <c r="G90" s="52">
        <f>IF($E$89=0,0,E90/($E$89))</f>
        <v>0</v>
      </c>
      <c r="H90" s="25"/>
      <c r="I90" s="258" t="str">
        <f>IF(O1=1,"",IF(O1=2,"LKR München",IF(O1=3,"",IF(O1=4,"",IF(O1=5,"",IF(O1=6,"",IF(O1=7,"",IF(O1=0,""))))))))</f>
        <v/>
      </c>
      <c r="J90" s="259"/>
      <c r="K90" s="259"/>
      <c r="L90" s="260"/>
      <c r="M90" s="7"/>
      <c r="N90" s="42">
        <f t="shared" si="15"/>
        <v>0</v>
      </c>
      <c r="O90" s="42">
        <f t="shared" si="16"/>
        <v>0</v>
      </c>
    </row>
    <row r="91" spans="1:17" ht="12.75" customHeight="1" x14ac:dyDescent="0.2">
      <c r="A91" s="157" t="s">
        <v>120</v>
      </c>
      <c r="B91" s="158"/>
      <c r="C91" s="158"/>
      <c r="D91" s="159"/>
      <c r="E91" s="6"/>
      <c r="F91" s="42">
        <f t="shared" si="18"/>
        <v>0</v>
      </c>
      <c r="G91" s="42">
        <f>IF($E$94-$E$93=0,0,E91/($E$94-$E$93))</f>
        <v>0</v>
      </c>
      <c r="H91" s="25"/>
      <c r="I91" s="258" t="str">
        <f>IF(O1=1,"",IF(O1=2,"LKR Neuburg-Schrobenhausen",IF(O1=3,"",IF(O1=4,"",IF(O1=5,"",IF(O1=6,"",IF(O1=7,"",IF(O1=0,""))))))))</f>
        <v/>
      </c>
      <c r="J91" s="259"/>
      <c r="K91" s="259"/>
      <c r="L91" s="260"/>
      <c r="M91" s="7"/>
      <c r="N91" s="42">
        <f t="shared" si="15"/>
        <v>0</v>
      </c>
      <c r="O91" s="42">
        <f t="shared" si="16"/>
        <v>0</v>
      </c>
      <c r="Q91" s="53"/>
    </row>
    <row r="92" spans="1:17" ht="13.5" customHeight="1" thickBot="1" x14ac:dyDescent="0.25">
      <c r="A92" s="166" t="s">
        <v>171</v>
      </c>
      <c r="B92" s="167"/>
      <c r="C92" s="167"/>
      <c r="D92" s="168"/>
      <c r="E92" s="8"/>
      <c r="F92" s="47">
        <f t="shared" si="18"/>
        <v>0</v>
      </c>
      <c r="G92" s="47">
        <f>IF($E$94-$E$93=0,0,E92/($E$94-$E$93))</f>
        <v>0</v>
      </c>
      <c r="H92" s="25"/>
      <c r="I92" s="258" t="str">
        <f>IF(O1=1,"",IF(O1=2,"LKR Pfaffenhofen a.d.Ilm",IF(O1=3,"",IF(O1=4,"",IF(O1=5,"",IF(O1=6,"",IF(O1=7,"",IF(O1=0,""))))))))</f>
        <v/>
      </c>
      <c r="J92" s="259"/>
      <c r="K92" s="259"/>
      <c r="L92" s="260"/>
      <c r="M92" s="7"/>
      <c r="N92" s="42">
        <f t="shared" si="15"/>
        <v>0</v>
      </c>
      <c r="O92" s="42">
        <f t="shared" si="16"/>
        <v>0</v>
      </c>
    </row>
    <row r="93" spans="1:17" ht="13.5" thickTop="1" x14ac:dyDescent="0.2">
      <c r="A93" s="163" t="s">
        <v>61</v>
      </c>
      <c r="B93" s="164"/>
      <c r="C93" s="164"/>
      <c r="D93" s="165"/>
      <c r="E93" s="9"/>
      <c r="F93" s="48">
        <f t="shared" si="18"/>
        <v>0</v>
      </c>
      <c r="G93" s="48"/>
      <c r="H93" s="25"/>
      <c r="I93" s="258" t="str">
        <f>IF(O1=1,"",IF(O1=2,"LKR Rosenheim",IF(O1=3,"",IF(O1=4,"",IF(O1=5,"",IF(O1=6,"",IF(O1=7,"",IF(O1=0,""))))))))</f>
        <v/>
      </c>
      <c r="J93" s="259"/>
      <c r="K93" s="259"/>
      <c r="L93" s="260"/>
      <c r="M93" s="7"/>
      <c r="N93" s="42">
        <f t="shared" si="15"/>
        <v>0</v>
      </c>
      <c r="O93" s="42">
        <f t="shared" si="16"/>
        <v>0</v>
      </c>
    </row>
    <row r="94" spans="1:17" ht="12.75" customHeight="1" x14ac:dyDescent="0.2">
      <c r="A94" s="169" t="s">
        <v>16</v>
      </c>
      <c r="B94" s="170"/>
      <c r="C94" s="170"/>
      <c r="D94" s="171"/>
      <c r="E94" s="44">
        <f>O38</f>
        <v>0</v>
      </c>
      <c r="F94" s="50">
        <f t="shared" si="18"/>
        <v>0</v>
      </c>
      <c r="G94" s="43"/>
      <c r="H94" s="25"/>
      <c r="I94" s="258" t="str">
        <f>IF(O1=1,"",IF(O1=2,"LKR Starnberg",IF(O1=3,"",IF(O1=4,"",IF(O1=5,"",IF(O1=6,"",IF(O1=7,"",IF(O1=0,""))))))))</f>
        <v/>
      </c>
      <c r="J94" s="259"/>
      <c r="K94" s="259"/>
      <c r="L94" s="260"/>
      <c r="M94" s="7"/>
      <c r="N94" s="42">
        <f t="shared" si="15"/>
        <v>0</v>
      </c>
      <c r="O94" s="42">
        <f t="shared" si="16"/>
        <v>0</v>
      </c>
    </row>
    <row r="95" spans="1:17" ht="12.75" customHeight="1" x14ac:dyDescent="0.2">
      <c r="A95" s="31" t="s">
        <v>396</v>
      </c>
      <c r="B95" s="25"/>
      <c r="C95" s="25"/>
      <c r="D95" s="25"/>
      <c r="E95" s="25"/>
      <c r="F95" s="25"/>
      <c r="G95" s="25"/>
      <c r="H95" s="25"/>
      <c r="I95" s="258" t="str">
        <f>IF(O1=1,"",IF(O1=2,"LKR Traunstein",IF(O1=3,"",IF(O1=4,"",IF(O1=5,"",IF(O1=6,"",IF(O1=7,"",IF(O1=0,""))))))))</f>
        <v/>
      </c>
      <c r="J95" s="259"/>
      <c r="K95" s="259"/>
      <c r="L95" s="260"/>
      <c r="M95" s="7"/>
      <c r="N95" s="42">
        <f t="shared" si="15"/>
        <v>0</v>
      </c>
      <c r="O95" s="42">
        <f t="shared" si="16"/>
        <v>0</v>
      </c>
    </row>
    <row r="96" spans="1:17" x14ac:dyDescent="0.2">
      <c r="A96" s="58" t="str">
        <f>IF(E90&gt;E89,"Eintrag in Zelle E88 darf nicht größer sein als in Zelle E87","")</f>
        <v/>
      </c>
      <c r="B96" s="135"/>
      <c r="C96" s="25"/>
      <c r="D96" s="25"/>
      <c r="E96" s="25"/>
      <c r="F96" s="25"/>
      <c r="G96" s="25"/>
      <c r="H96" s="25"/>
      <c r="I96" s="258" t="str">
        <f>IF(O1=1,"",IF(O1=2,"LKR Weilheim-Schongau",IF(O1=3,"",IF(O1=4,"",IF(O1=5,"",IF(O1=6,"",IF(O1=7,"",IF(O1=0,""))))))))</f>
        <v/>
      </c>
      <c r="J96" s="259"/>
      <c r="K96" s="259"/>
      <c r="L96" s="260"/>
      <c r="M96" s="7"/>
      <c r="N96" s="42">
        <f t="shared" si="15"/>
        <v>0</v>
      </c>
      <c r="O96" s="42">
        <f t="shared" si="16"/>
        <v>0</v>
      </c>
    </row>
    <row r="97" spans="1:17" x14ac:dyDescent="0.2">
      <c r="A97" s="37" t="str">
        <f>IF(SUM(E99:E101)=E102,"","Summe der Einträge in E97 - E99 enstspricht nicht der Gesamtfallzahl dieser Tabelle")</f>
        <v/>
      </c>
      <c r="B97" s="25"/>
      <c r="C97" s="25"/>
      <c r="D97" s="25"/>
      <c r="E97" s="25"/>
      <c r="F97" s="25"/>
      <c r="G97" s="25"/>
      <c r="H97" s="25"/>
      <c r="I97" s="258" t="str">
        <f>IF(O1=1,"",IF(O1=2,"",IF(O1=3,"",IF(O1=4,"",IF(O1=5,"",IF(O1=6,"Stadt Ansbach",IF(O1=7,"",IF(O1=0,""))))))))</f>
        <v/>
      </c>
      <c r="J97" s="259"/>
      <c r="K97" s="259"/>
      <c r="L97" s="260"/>
      <c r="M97" s="7"/>
      <c r="N97" s="42">
        <f t="shared" ref="N97:N98" si="19">IF($M$104=0,0,M97/$M$104)</f>
        <v>0</v>
      </c>
      <c r="O97" s="42">
        <f t="shared" ref="O97:O98" si="20">IF($M$104-$M$103=0,0,M97/($M$104-$M$103))</f>
        <v>0</v>
      </c>
    </row>
    <row r="98" spans="1:17" ht="12.75" customHeight="1" x14ac:dyDescent="0.2">
      <c r="A98" s="169" t="s">
        <v>117</v>
      </c>
      <c r="B98" s="170"/>
      <c r="C98" s="170"/>
      <c r="D98" s="171"/>
      <c r="E98" s="46" t="s">
        <v>15</v>
      </c>
      <c r="F98" s="41" t="s">
        <v>17</v>
      </c>
      <c r="G98" s="41" t="s">
        <v>49</v>
      </c>
      <c r="H98" s="25"/>
      <c r="I98" s="258" t="str">
        <f>IF(O1=1,"Stadt Augsburg",IF(O1=2,"",IF(O1=3,"",IF(O1=4,"",IF(O1=5,"Stadt Bamberg",IF(O1=6,"Stadt Erlangen",IF(O1=7,"",IF(O1=0,""))))))))</f>
        <v/>
      </c>
      <c r="J98" s="259"/>
      <c r="K98" s="259"/>
      <c r="L98" s="260"/>
      <c r="M98" s="7"/>
      <c r="N98" s="42">
        <f t="shared" si="19"/>
        <v>0</v>
      </c>
      <c r="O98" s="42">
        <f t="shared" si="20"/>
        <v>0</v>
      </c>
    </row>
    <row r="99" spans="1:17" ht="12.75" customHeight="1" x14ac:dyDescent="0.2">
      <c r="A99" s="157" t="s">
        <v>121</v>
      </c>
      <c r="B99" s="158"/>
      <c r="C99" s="158"/>
      <c r="D99" s="159"/>
      <c r="E99" s="6"/>
      <c r="F99" s="42">
        <f>IF($E$102=0,0,E99/$E$102)</f>
        <v>0</v>
      </c>
      <c r="G99" s="42">
        <f>IF(($E$102-$E$101)=0,0,E99/($E$102-$E$101))</f>
        <v>0</v>
      </c>
      <c r="H99" s="25"/>
      <c r="I99" s="258" t="str">
        <f>IF(O1=1,"Stadt Kaufbeuren",IF(O1=2,"Stadt Ingolstadt",IF(O1=3,"Stadt Landshut",IF(O1=4,"Stadt Amberg",IF(O1=5,"Stadt Bayreuth",IF(O1=6,"Stadt Fürth",IF(O1=7,"Stadt Aschaffenburg",IF(O1=0,""))))))))</f>
        <v/>
      </c>
      <c r="J99" s="259"/>
      <c r="K99" s="259"/>
      <c r="L99" s="260"/>
      <c r="M99" s="7"/>
      <c r="N99" s="42">
        <f t="shared" ref="N99:N103" si="21">IF($M$104=0,0,M99/$M$104)</f>
        <v>0</v>
      </c>
      <c r="O99" s="42">
        <f>IF($M$104-$M$103=0,0,M99/($M$104-$M$103))</f>
        <v>0</v>
      </c>
    </row>
    <row r="100" spans="1:17" ht="12.75" customHeight="1" thickBot="1" x14ac:dyDescent="0.25">
      <c r="A100" s="166" t="s">
        <v>122</v>
      </c>
      <c r="B100" s="167"/>
      <c r="C100" s="167"/>
      <c r="D100" s="168"/>
      <c r="E100" s="8"/>
      <c r="F100" s="47">
        <f t="shared" ref="F100:F102" si="22">IF($E$102=0,0,E100/$E$102)</f>
        <v>0</v>
      </c>
      <c r="G100" s="47">
        <f>IF(($E$102-$E$101)=0,0,E100/($E$102-$E$101))</f>
        <v>0</v>
      </c>
      <c r="H100" s="25"/>
      <c r="I100" s="258" t="str">
        <f>IF(O1=1,"Stadt Kempten (Allgäu)",IF(O1=2,"Stadt München",IF(O1=3,"Stadt Passau",IF(O1=4,"Stadt Regensburg",IF(O1=5,"Stadt Coburg",IF(O1=6,"Stadt Nürnberg",IF(O1=7,"Stadt Schweinfurt",IF(O1=0,""))))))))</f>
        <v/>
      </c>
      <c r="J100" s="259"/>
      <c r="K100" s="259"/>
      <c r="L100" s="260"/>
      <c r="M100" s="7"/>
      <c r="N100" s="42">
        <f t="shared" si="21"/>
        <v>0</v>
      </c>
      <c r="O100" s="42">
        <f>IF($M$104-$M$103=0,0,M100/($M$104-$M$103))</f>
        <v>0</v>
      </c>
    </row>
    <row r="101" spans="1:17" ht="12.75" customHeight="1" thickTop="1" x14ac:dyDescent="0.2">
      <c r="A101" s="163" t="s">
        <v>61</v>
      </c>
      <c r="B101" s="164"/>
      <c r="C101" s="164"/>
      <c r="D101" s="165"/>
      <c r="E101" s="6"/>
      <c r="F101" s="48">
        <f t="shared" si="22"/>
        <v>0</v>
      </c>
      <c r="G101" s="48"/>
      <c r="H101" s="25"/>
      <c r="I101" s="182" t="str">
        <f>IF(O1=1,"Stadt Memmingen",IF(O1=2,"Stadt Rosenheim",IF(O1=3,"Stadt Straubing",IF(O1=4,"Stadt Weiden",IF(O1=5,"Stadt Hof",IF(O1=6,"Stadt Schwabach",IF(O1=7,"Stadt Würzburg",IF(O1=0,""))))))))</f>
        <v/>
      </c>
      <c r="J101" s="261"/>
      <c r="K101" s="261"/>
      <c r="L101" s="262"/>
      <c r="M101" s="7"/>
      <c r="N101" s="42">
        <f t="shared" si="21"/>
        <v>0</v>
      </c>
      <c r="O101" s="42">
        <f>IF($M$104-$M$103=0,0,M101/($M$104-$M$103))</f>
        <v>0</v>
      </c>
    </row>
    <row r="102" spans="1:17" ht="12.75" customHeight="1" thickBot="1" x14ac:dyDescent="0.25">
      <c r="A102" s="169" t="s">
        <v>430</v>
      </c>
      <c r="B102" s="170"/>
      <c r="C102" s="170"/>
      <c r="D102" s="171"/>
      <c r="E102" s="44">
        <f>E89+E91+E92</f>
        <v>0</v>
      </c>
      <c r="F102" s="43">
        <f t="shared" si="22"/>
        <v>0</v>
      </c>
      <c r="G102" s="43"/>
      <c r="H102" s="25"/>
      <c r="I102" s="291" t="s">
        <v>395</v>
      </c>
      <c r="J102" s="292"/>
      <c r="K102" s="292"/>
      <c r="L102" s="293"/>
      <c r="M102" s="10"/>
      <c r="N102" s="54">
        <f t="shared" si="21"/>
        <v>0</v>
      </c>
      <c r="O102" s="54">
        <f>IF($M$104-$M$103=0,0,M102/($M$104-$M$103))</f>
        <v>0</v>
      </c>
    </row>
    <row r="103" spans="1:17" ht="13.5" customHeight="1" thickTop="1" x14ac:dyDescent="0.2">
      <c r="A103" s="31" t="s">
        <v>448</v>
      </c>
      <c r="B103" s="25"/>
      <c r="C103" s="25"/>
      <c r="D103" s="25"/>
      <c r="E103" s="25"/>
      <c r="F103" s="25"/>
      <c r="G103" s="25"/>
      <c r="H103" s="25"/>
      <c r="I103" s="258" t="s">
        <v>61</v>
      </c>
      <c r="J103" s="259"/>
      <c r="K103" s="259"/>
      <c r="L103" s="260"/>
      <c r="M103" s="9"/>
      <c r="N103" s="48">
        <f t="shared" si="21"/>
        <v>0</v>
      </c>
      <c r="O103" s="49"/>
    </row>
    <row r="104" spans="1:17" x14ac:dyDescent="0.2">
      <c r="A104" s="25"/>
      <c r="B104" s="25"/>
      <c r="C104" s="25"/>
      <c r="D104" s="25"/>
      <c r="E104" s="25"/>
      <c r="F104" s="25"/>
      <c r="G104" s="25"/>
      <c r="H104" s="25"/>
      <c r="I104" s="169" t="s">
        <v>16</v>
      </c>
      <c r="J104" s="267"/>
      <c r="K104" s="267"/>
      <c r="L104" s="268"/>
      <c r="M104" s="44">
        <f>O38</f>
        <v>0</v>
      </c>
      <c r="N104" s="43" t="str">
        <f>IF($M$104=0,"",M104/$M$104)</f>
        <v/>
      </c>
      <c r="O104" s="43" t="str">
        <f>N104</f>
        <v/>
      </c>
    </row>
    <row r="105" spans="1:17" x14ac:dyDescent="0.2">
      <c r="A105" s="25"/>
      <c r="B105" s="25"/>
      <c r="C105" s="25"/>
      <c r="D105" s="25"/>
      <c r="E105" s="25"/>
      <c r="F105" s="25"/>
      <c r="G105" s="25"/>
      <c r="H105" s="25"/>
      <c r="I105" s="37"/>
      <c r="J105" s="25"/>
      <c r="K105" s="25"/>
      <c r="L105" s="25"/>
      <c r="M105" s="25"/>
      <c r="N105" s="25"/>
    </row>
    <row r="106" spans="1:17" x14ac:dyDescent="0.2">
      <c r="A106" s="24" t="s">
        <v>141</v>
      </c>
      <c r="B106" s="53"/>
      <c r="C106" s="53"/>
      <c r="D106" s="53"/>
      <c r="E106" s="53"/>
      <c r="F106" s="53"/>
      <c r="G106" s="53"/>
      <c r="H106" s="25"/>
    </row>
    <row r="107" spans="1:17" x14ac:dyDescent="0.2">
      <c r="A107" s="37" t="str">
        <f>IF(SUM(E109:E120)+SUM(M109:M120)=M121,"","Summe der Einträge in E107 - E118 oder M107 - M118 entspricht nicht der Gesamtfallzahl dieser Tabelle")</f>
        <v/>
      </c>
      <c r="B107" s="53"/>
      <c r="C107" s="53"/>
      <c r="D107" s="53"/>
      <c r="E107" s="53"/>
      <c r="F107" s="53"/>
      <c r="G107" s="53"/>
      <c r="H107" s="25"/>
    </row>
    <row r="108" spans="1:17" x14ac:dyDescent="0.2">
      <c r="A108" s="160" t="s">
        <v>132</v>
      </c>
      <c r="B108" s="161"/>
      <c r="C108" s="161"/>
      <c r="D108" s="162"/>
      <c r="E108" s="41" t="s">
        <v>15</v>
      </c>
      <c r="F108" s="41" t="s">
        <v>17</v>
      </c>
      <c r="G108" s="41" t="s">
        <v>197</v>
      </c>
      <c r="H108" s="25"/>
      <c r="I108" s="160" t="s">
        <v>133</v>
      </c>
      <c r="J108" s="269"/>
      <c r="K108" s="269"/>
      <c r="L108" s="270"/>
      <c r="M108" s="41" t="s">
        <v>15</v>
      </c>
      <c r="N108" s="41" t="s">
        <v>17</v>
      </c>
      <c r="O108" s="41" t="s">
        <v>197</v>
      </c>
      <c r="Q108" s="53"/>
    </row>
    <row r="109" spans="1:17" x14ac:dyDescent="0.2">
      <c r="A109" s="157" t="s">
        <v>73</v>
      </c>
      <c r="B109" s="158"/>
      <c r="C109" s="158"/>
      <c r="D109" s="159"/>
      <c r="E109" s="7"/>
      <c r="F109" s="42">
        <f t="shared" ref="F109:F120" si="23">IF($M$121=0,0,E109/$M$121)</f>
        <v>0</v>
      </c>
      <c r="G109" s="42">
        <f t="shared" ref="G109:G120" si="24">IF(($M$121-$M$120)=0,0,E109/($M$121-$M$120))</f>
        <v>0</v>
      </c>
      <c r="H109" s="53"/>
      <c r="I109" s="157" t="s">
        <v>391</v>
      </c>
      <c r="J109" s="265"/>
      <c r="K109" s="265"/>
      <c r="L109" s="266"/>
      <c r="M109" s="7"/>
      <c r="N109" s="42">
        <f>IF($M$121=0,0,M109/$M$121)</f>
        <v>0</v>
      </c>
      <c r="O109" s="42">
        <f>IF(($M$121-$M$120)=0,0,M109/($M$121-$M$120))</f>
        <v>0</v>
      </c>
    </row>
    <row r="110" spans="1:17" x14ac:dyDescent="0.2">
      <c r="A110" s="157" t="s">
        <v>178</v>
      </c>
      <c r="B110" s="158"/>
      <c r="C110" s="158"/>
      <c r="D110" s="159"/>
      <c r="E110" s="7"/>
      <c r="F110" s="42">
        <f t="shared" si="23"/>
        <v>0</v>
      </c>
      <c r="G110" s="42">
        <f t="shared" si="24"/>
        <v>0</v>
      </c>
      <c r="I110" s="157" t="s">
        <v>188</v>
      </c>
      <c r="J110" s="265"/>
      <c r="K110" s="265"/>
      <c r="L110" s="266"/>
      <c r="M110" s="7"/>
      <c r="N110" s="42">
        <f t="shared" ref="N110:N120" si="25">IF($M$121=0,0,M110/$M$121)</f>
        <v>0</v>
      </c>
      <c r="O110" s="42">
        <f t="shared" ref="O110:O119" si="26">IF(($M$121-$M$120)=0,0,M110/($M$121-$M$120))</f>
        <v>0</v>
      </c>
    </row>
    <row r="111" spans="1:17" x14ac:dyDescent="0.2">
      <c r="A111" s="157" t="s">
        <v>179</v>
      </c>
      <c r="B111" s="158"/>
      <c r="C111" s="158"/>
      <c r="D111" s="159"/>
      <c r="E111" s="7"/>
      <c r="F111" s="42">
        <f t="shared" si="23"/>
        <v>0</v>
      </c>
      <c r="G111" s="42">
        <f t="shared" si="24"/>
        <v>0</v>
      </c>
      <c r="I111" s="157" t="s">
        <v>189</v>
      </c>
      <c r="J111" s="265"/>
      <c r="K111" s="265"/>
      <c r="L111" s="266"/>
      <c r="M111" s="7"/>
      <c r="N111" s="42">
        <f t="shared" si="25"/>
        <v>0</v>
      </c>
      <c r="O111" s="42">
        <f t="shared" si="26"/>
        <v>0</v>
      </c>
    </row>
    <row r="112" spans="1:17" ht="12.75" customHeight="1" x14ac:dyDescent="0.2">
      <c r="A112" s="157" t="s">
        <v>180</v>
      </c>
      <c r="B112" s="158"/>
      <c r="C112" s="158"/>
      <c r="D112" s="159"/>
      <c r="E112" s="7"/>
      <c r="F112" s="42">
        <f t="shared" si="23"/>
        <v>0</v>
      </c>
      <c r="G112" s="42">
        <f t="shared" si="24"/>
        <v>0</v>
      </c>
      <c r="I112" s="157" t="s">
        <v>190</v>
      </c>
      <c r="J112" s="265"/>
      <c r="K112" s="265"/>
      <c r="L112" s="266"/>
      <c r="M112" s="7"/>
      <c r="N112" s="42">
        <f t="shared" si="25"/>
        <v>0</v>
      </c>
      <c r="O112" s="42">
        <f t="shared" si="26"/>
        <v>0</v>
      </c>
    </row>
    <row r="113" spans="1:17" x14ac:dyDescent="0.2">
      <c r="A113" s="157" t="s">
        <v>181</v>
      </c>
      <c r="B113" s="158"/>
      <c r="C113" s="158"/>
      <c r="D113" s="159"/>
      <c r="E113" s="7"/>
      <c r="F113" s="42">
        <f t="shared" si="23"/>
        <v>0</v>
      </c>
      <c r="G113" s="42">
        <f t="shared" si="24"/>
        <v>0</v>
      </c>
      <c r="I113" s="157" t="s">
        <v>191</v>
      </c>
      <c r="J113" s="265"/>
      <c r="K113" s="265"/>
      <c r="L113" s="266"/>
      <c r="M113" s="7"/>
      <c r="N113" s="42">
        <f t="shared" si="25"/>
        <v>0</v>
      </c>
      <c r="O113" s="42">
        <f t="shared" si="26"/>
        <v>0</v>
      </c>
    </row>
    <row r="114" spans="1:17" ht="12.75" customHeight="1" x14ac:dyDescent="0.2">
      <c r="A114" s="157" t="s">
        <v>182</v>
      </c>
      <c r="B114" s="158"/>
      <c r="C114" s="158"/>
      <c r="D114" s="159"/>
      <c r="E114" s="7"/>
      <c r="F114" s="42">
        <f t="shared" si="23"/>
        <v>0</v>
      </c>
      <c r="G114" s="42">
        <f t="shared" si="24"/>
        <v>0</v>
      </c>
      <c r="I114" s="157" t="s">
        <v>192</v>
      </c>
      <c r="J114" s="265"/>
      <c r="K114" s="265"/>
      <c r="L114" s="266"/>
      <c r="M114" s="7"/>
      <c r="N114" s="42">
        <f t="shared" si="25"/>
        <v>0</v>
      </c>
      <c r="O114" s="42">
        <f t="shared" si="26"/>
        <v>0</v>
      </c>
    </row>
    <row r="115" spans="1:17" ht="12.75" customHeight="1" x14ac:dyDescent="0.2">
      <c r="A115" s="157" t="s">
        <v>183</v>
      </c>
      <c r="B115" s="158"/>
      <c r="C115" s="158"/>
      <c r="D115" s="159"/>
      <c r="E115" s="7"/>
      <c r="F115" s="42">
        <f t="shared" si="23"/>
        <v>0</v>
      </c>
      <c r="G115" s="42">
        <f t="shared" si="24"/>
        <v>0</v>
      </c>
      <c r="I115" s="157" t="s">
        <v>193</v>
      </c>
      <c r="J115" s="265"/>
      <c r="K115" s="265"/>
      <c r="L115" s="266"/>
      <c r="M115" s="7"/>
      <c r="N115" s="42">
        <f t="shared" si="25"/>
        <v>0</v>
      </c>
      <c r="O115" s="42">
        <f t="shared" si="26"/>
        <v>0</v>
      </c>
    </row>
    <row r="116" spans="1:17" ht="12.75" customHeight="1" x14ac:dyDescent="0.2">
      <c r="A116" s="157" t="s">
        <v>184</v>
      </c>
      <c r="B116" s="158"/>
      <c r="C116" s="158"/>
      <c r="D116" s="159"/>
      <c r="E116" s="7"/>
      <c r="F116" s="42">
        <f t="shared" si="23"/>
        <v>0</v>
      </c>
      <c r="G116" s="42">
        <f t="shared" si="24"/>
        <v>0</v>
      </c>
      <c r="I116" s="157" t="s">
        <v>194</v>
      </c>
      <c r="J116" s="265"/>
      <c r="K116" s="265"/>
      <c r="L116" s="266"/>
      <c r="M116" s="7"/>
      <c r="N116" s="42">
        <f t="shared" si="25"/>
        <v>0</v>
      </c>
      <c r="O116" s="42">
        <f t="shared" si="26"/>
        <v>0</v>
      </c>
    </row>
    <row r="117" spans="1:17" ht="12.75" customHeight="1" x14ac:dyDescent="0.2">
      <c r="A117" s="157" t="s">
        <v>185</v>
      </c>
      <c r="B117" s="158"/>
      <c r="C117" s="158"/>
      <c r="D117" s="159"/>
      <c r="E117" s="7"/>
      <c r="F117" s="42">
        <f t="shared" si="23"/>
        <v>0</v>
      </c>
      <c r="G117" s="42">
        <f t="shared" si="24"/>
        <v>0</v>
      </c>
      <c r="I117" s="157" t="s">
        <v>195</v>
      </c>
      <c r="J117" s="265"/>
      <c r="K117" s="265"/>
      <c r="L117" s="266"/>
      <c r="M117" s="7"/>
      <c r="N117" s="42">
        <f t="shared" si="25"/>
        <v>0</v>
      </c>
      <c r="O117" s="42">
        <f t="shared" si="26"/>
        <v>0</v>
      </c>
    </row>
    <row r="118" spans="1:17" ht="12.75" customHeight="1" x14ac:dyDescent="0.2">
      <c r="A118" s="157" t="s">
        <v>186</v>
      </c>
      <c r="B118" s="158"/>
      <c r="C118" s="158"/>
      <c r="D118" s="159"/>
      <c r="E118" s="7"/>
      <c r="F118" s="42">
        <f t="shared" si="23"/>
        <v>0</v>
      </c>
      <c r="G118" s="42">
        <f t="shared" si="24"/>
        <v>0</v>
      </c>
      <c r="I118" s="157" t="s">
        <v>74</v>
      </c>
      <c r="J118" s="265"/>
      <c r="K118" s="265"/>
      <c r="L118" s="266"/>
      <c r="M118" s="7"/>
      <c r="N118" s="42">
        <f t="shared" si="25"/>
        <v>0</v>
      </c>
      <c r="O118" s="42">
        <f t="shared" si="26"/>
        <v>0</v>
      </c>
    </row>
    <row r="119" spans="1:17" ht="13.5" customHeight="1" thickBot="1" x14ac:dyDescent="0.25">
      <c r="A119" s="157" t="s">
        <v>390</v>
      </c>
      <c r="B119" s="158"/>
      <c r="C119" s="158"/>
      <c r="D119" s="159"/>
      <c r="E119" s="7"/>
      <c r="F119" s="42">
        <f t="shared" si="23"/>
        <v>0</v>
      </c>
      <c r="G119" s="42">
        <f t="shared" si="24"/>
        <v>0</v>
      </c>
      <c r="I119" s="166" t="s">
        <v>196</v>
      </c>
      <c r="J119" s="298"/>
      <c r="K119" s="298"/>
      <c r="L119" s="299"/>
      <c r="M119" s="8"/>
      <c r="N119" s="47">
        <f t="shared" si="25"/>
        <v>0</v>
      </c>
      <c r="O119" s="47">
        <f t="shared" si="26"/>
        <v>0</v>
      </c>
    </row>
    <row r="120" spans="1:17" ht="13.5" customHeight="1" thickTop="1" x14ac:dyDescent="0.2">
      <c r="A120" s="157" t="s">
        <v>187</v>
      </c>
      <c r="B120" s="158"/>
      <c r="C120" s="158"/>
      <c r="D120" s="159"/>
      <c r="E120" s="7"/>
      <c r="F120" s="42">
        <f t="shared" si="23"/>
        <v>0</v>
      </c>
      <c r="G120" s="42">
        <f t="shared" si="24"/>
        <v>0</v>
      </c>
      <c r="I120" s="295" t="s">
        <v>61</v>
      </c>
      <c r="J120" s="296"/>
      <c r="K120" s="296"/>
      <c r="L120" s="297"/>
      <c r="M120" s="9"/>
      <c r="N120" s="48">
        <f t="shared" si="25"/>
        <v>0</v>
      </c>
      <c r="O120" s="42"/>
    </row>
    <row r="121" spans="1:17" x14ac:dyDescent="0.2">
      <c r="I121" s="160" t="s">
        <v>16</v>
      </c>
      <c r="J121" s="261"/>
      <c r="K121" s="261"/>
      <c r="L121" s="261"/>
      <c r="M121" s="55">
        <f>O41</f>
        <v>0</v>
      </c>
      <c r="N121" s="43">
        <f>IF($M$121=0,0,M121/$M$121)</f>
        <v>0</v>
      </c>
      <c r="O121" s="43"/>
    </row>
    <row r="123" spans="1:17" x14ac:dyDescent="0.2">
      <c r="A123" s="24" t="s">
        <v>340</v>
      </c>
    </row>
    <row r="124" spans="1:17" x14ac:dyDescent="0.2">
      <c r="A124" s="56" t="str">
        <f>IF(O133&gt;0,"Kein Einzeleintrag in E124 - E131 und M124 - M130 darf größer sein als die Gesamtfallzahl dieser Tabelle ","")</f>
        <v/>
      </c>
    </row>
    <row r="125" spans="1:17" ht="12.75" customHeight="1" x14ac:dyDescent="0.2">
      <c r="A125" s="160" t="s">
        <v>338</v>
      </c>
      <c r="B125" s="161"/>
      <c r="C125" s="161"/>
      <c r="D125" s="162"/>
      <c r="E125" s="41" t="s">
        <v>15</v>
      </c>
      <c r="F125" s="41" t="s">
        <v>17</v>
      </c>
      <c r="I125" s="169" t="s">
        <v>339</v>
      </c>
      <c r="J125" s="300"/>
      <c r="K125" s="300"/>
      <c r="L125" s="301"/>
      <c r="M125" s="46" t="s">
        <v>15</v>
      </c>
      <c r="N125" s="41" t="s">
        <v>17</v>
      </c>
      <c r="Q125" s="53"/>
    </row>
    <row r="126" spans="1:17" ht="12.75" customHeight="1" x14ac:dyDescent="0.2">
      <c r="A126" s="182" t="s">
        <v>324</v>
      </c>
      <c r="B126" s="183"/>
      <c r="C126" s="183"/>
      <c r="D126" s="184"/>
      <c r="E126" s="7"/>
      <c r="F126" s="42">
        <f>IF($K$41=0,0,E126/$K$41)</f>
        <v>0</v>
      </c>
      <c r="G126" s="136" t="str">
        <f t="shared" ref="G126:G133" si="27">IF(E126&gt;$M$133,1,"")</f>
        <v/>
      </c>
      <c r="I126" s="182" t="s">
        <v>331</v>
      </c>
      <c r="J126" s="261"/>
      <c r="K126" s="261"/>
      <c r="L126" s="262"/>
      <c r="M126" s="7"/>
      <c r="N126" s="42">
        <f>IF($K$41=0,0,M126/$K$41)</f>
        <v>0</v>
      </c>
      <c r="O126" s="136" t="str">
        <f>IF(M126&gt;$M$133,1,"")</f>
        <v/>
      </c>
    </row>
    <row r="127" spans="1:17" ht="12.75" customHeight="1" x14ac:dyDescent="0.2">
      <c r="A127" s="182" t="s">
        <v>325</v>
      </c>
      <c r="B127" s="183"/>
      <c r="C127" s="183"/>
      <c r="D127" s="184"/>
      <c r="E127" s="7"/>
      <c r="F127" s="42">
        <f t="shared" ref="F127:F133" si="28">IF($K$41=0,0,E127/$K$41)</f>
        <v>0</v>
      </c>
      <c r="G127" s="136" t="str">
        <f t="shared" si="27"/>
        <v/>
      </c>
      <c r="I127" s="182" t="s">
        <v>332</v>
      </c>
      <c r="J127" s="261"/>
      <c r="K127" s="261"/>
      <c r="L127" s="262"/>
      <c r="M127" s="7"/>
      <c r="N127" s="42">
        <f t="shared" ref="N127:N133" si="29">IF($K$41=0,0,M127/$K$41)</f>
        <v>0</v>
      </c>
      <c r="O127" s="136" t="str">
        <f t="shared" ref="O127:O132" si="30">IF(M127&gt;$M$133,1,"")</f>
        <v/>
      </c>
    </row>
    <row r="128" spans="1:17" ht="12.75" customHeight="1" x14ac:dyDescent="0.2">
      <c r="A128" s="182" t="s">
        <v>326</v>
      </c>
      <c r="B128" s="183"/>
      <c r="C128" s="183"/>
      <c r="D128" s="184"/>
      <c r="E128" s="7"/>
      <c r="F128" s="42">
        <f t="shared" si="28"/>
        <v>0</v>
      </c>
      <c r="G128" s="136" t="str">
        <f t="shared" si="27"/>
        <v/>
      </c>
      <c r="I128" s="182" t="s">
        <v>333</v>
      </c>
      <c r="J128" s="261"/>
      <c r="K128" s="261"/>
      <c r="L128" s="262"/>
      <c r="M128" s="7"/>
      <c r="N128" s="42">
        <f t="shared" si="29"/>
        <v>0</v>
      </c>
      <c r="O128" s="136" t="str">
        <f t="shared" si="30"/>
        <v/>
      </c>
    </row>
    <row r="129" spans="1:20" ht="12.75" customHeight="1" x14ac:dyDescent="0.2">
      <c r="A129" s="182" t="s">
        <v>348</v>
      </c>
      <c r="B129" s="183"/>
      <c r="C129" s="183"/>
      <c r="D129" s="184"/>
      <c r="E129" s="7"/>
      <c r="F129" s="42">
        <f t="shared" si="28"/>
        <v>0</v>
      </c>
      <c r="G129" s="136" t="str">
        <f t="shared" si="27"/>
        <v/>
      </c>
      <c r="I129" s="182" t="s">
        <v>334</v>
      </c>
      <c r="J129" s="261"/>
      <c r="K129" s="261"/>
      <c r="L129" s="262"/>
      <c r="M129" s="7"/>
      <c r="N129" s="42">
        <f t="shared" si="29"/>
        <v>0</v>
      </c>
      <c r="O129" s="136" t="str">
        <f t="shared" si="30"/>
        <v/>
      </c>
    </row>
    <row r="130" spans="1:20" ht="12.75" customHeight="1" x14ac:dyDescent="0.2">
      <c r="A130" s="182" t="s">
        <v>327</v>
      </c>
      <c r="B130" s="183"/>
      <c r="C130" s="183"/>
      <c r="D130" s="184"/>
      <c r="E130" s="7"/>
      <c r="F130" s="42">
        <f t="shared" si="28"/>
        <v>0</v>
      </c>
      <c r="G130" s="136" t="str">
        <f t="shared" si="27"/>
        <v/>
      </c>
      <c r="I130" s="182" t="s">
        <v>335</v>
      </c>
      <c r="J130" s="261"/>
      <c r="K130" s="261"/>
      <c r="L130" s="262"/>
      <c r="M130" s="7"/>
      <c r="N130" s="42">
        <f t="shared" si="29"/>
        <v>0</v>
      </c>
      <c r="O130" s="136" t="str">
        <f t="shared" si="30"/>
        <v/>
      </c>
    </row>
    <row r="131" spans="1:20" x14ac:dyDescent="0.2">
      <c r="A131" s="182" t="s">
        <v>328</v>
      </c>
      <c r="B131" s="183"/>
      <c r="C131" s="183"/>
      <c r="D131" s="184"/>
      <c r="E131" s="7"/>
      <c r="F131" s="42">
        <f t="shared" si="28"/>
        <v>0</v>
      </c>
      <c r="G131" s="136" t="str">
        <f t="shared" si="27"/>
        <v/>
      </c>
      <c r="I131" s="182" t="s">
        <v>336</v>
      </c>
      <c r="J131" s="261"/>
      <c r="K131" s="261"/>
      <c r="L131" s="262"/>
      <c r="M131" s="7"/>
      <c r="N131" s="42">
        <f t="shared" si="29"/>
        <v>0</v>
      </c>
      <c r="O131" s="136" t="str">
        <f t="shared" si="30"/>
        <v/>
      </c>
    </row>
    <row r="132" spans="1:20" ht="12.75" customHeight="1" x14ac:dyDescent="0.2">
      <c r="A132" s="182" t="s">
        <v>329</v>
      </c>
      <c r="B132" s="183"/>
      <c r="C132" s="183"/>
      <c r="D132" s="184"/>
      <c r="E132" s="7"/>
      <c r="F132" s="42">
        <f t="shared" si="28"/>
        <v>0</v>
      </c>
      <c r="G132" s="136" t="str">
        <f t="shared" si="27"/>
        <v/>
      </c>
      <c r="I132" s="182" t="s">
        <v>337</v>
      </c>
      <c r="J132" s="261"/>
      <c r="K132" s="261"/>
      <c r="L132" s="262"/>
      <c r="M132" s="7"/>
      <c r="N132" s="42">
        <f t="shared" si="29"/>
        <v>0</v>
      </c>
      <c r="O132" s="136" t="str">
        <f t="shared" si="30"/>
        <v/>
      </c>
    </row>
    <row r="133" spans="1:20" ht="15.75" customHeight="1" x14ac:dyDescent="0.2">
      <c r="A133" s="182" t="s">
        <v>330</v>
      </c>
      <c r="B133" s="183"/>
      <c r="C133" s="183"/>
      <c r="D133" s="184"/>
      <c r="E133" s="7"/>
      <c r="F133" s="42">
        <f t="shared" si="28"/>
        <v>0</v>
      </c>
      <c r="G133" s="136" t="str">
        <f t="shared" si="27"/>
        <v/>
      </c>
      <c r="I133" s="160" t="s">
        <v>16</v>
      </c>
      <c r="J133" s="247"/>
      <c r="K133" s="247"/>
      <c r="L133" s="247"/>
      <c r="M133" s="55">
        <f>K41</f>
        <v>0</v>
      </c>
      <c r="N133" s="43">
        <f t="shared" si="29"/>
        <v>0</v>
      </c>
      <c r="O133" s="57">
        <f>SUM(G126:G133,O126:O132)</f>
        <v>0</v>
      </c>
    </row>
    <row r="136" spans="1:20" x14ac:dyDescent="0.2">
      <c r="A136" s="24" t="s">
        <v>341</v>
      </c>
      <c r="E136" s="25"/>
      <c r="N136" s="58"/>
    </row>
    <row r="137" spans="1:20" x14ac:dyDescent="0.2">
      <c r="A137" s="56" t="str">
        <f>IF(P170&gt;0,"Einzeleinträge E139-166 nicht höher als die Gesamtanzahl","")</f>
        <v/>
      </c>
      <c r="E137" s="56" t="str">
        <f>IF(Q170&gt;0,"Einzeleinträge H139-H165 / J139-J165 nicht höher als Lifetimeeinträge","")</f>
        <v/>
      </c>
      <c r="K137" s="56" t="str">
        <f>IF(R170&gt;0,"Hauptsubstanz-Nennungen  dürfen  nicht höher als der Lifetime sein","")</f>
        <v/>
      </c>
    </row>
    <row r="138" spans="1:20" ht="12.75" customHeight="1" x14ac:dyDescent="0.2">
      <c r="A138" s="185" t="s">
        <v>238</v>
      </c>
      <c r="B138" s="186"/>
      <c r="C138" s="186"/>
      <c r="D138" s="187"/>
      <c r="E138" s="280" t="s">
        <v>252</v>
      </c>
      <c r="F138" s="394"/>
      <c r="G138" s="395"/>
      <c r="H138" s="224" t="s">
        <v>343</v>
      </c>
      <c r="I138" s="247"/>
      <c r="J138" s="247"/>
      <c r="K138" s="247"/>
      <c r="L138" s="247"/>
      <c r="M138" s="223"/>
      <c r="N138" s="215" t="s">
        <v>397</v>
      </c>
      <c r="O138" s="216"/>
      <c r="P138" s="30"/>
      <c r="Q138" s="30"/>
      <c r="R138" s="30"/>
      <c r="S138" s="30"/>
    </row>
    <row r="139" spans="1:20" ht="12.75" customHeight="1" x14ac:dyDescent="0.2">
      <c r="A139" s="188"/>
      <c r="B139" s="189"/>
      <c r="C139" s="189"/>
      <c r="D139" s="190"/>
      <c r="E139" s="217" t="s">
        <v>15</v>
      </c>
      <c r="F139" s="217" t="s">
        <v>17</v>
      </c>
      <c r="G139" s="217" t="s">
        <v>197</v>
      </c>
      <c r="H139" s="224" t="s">
        <v>251</v>
      </c>
      <c r="I139" s="294"/>
      <c r="J139" s="302" t="s">
        <v>368</v>
      </c>
      <c r="K139" s="302"/>
      <c r="L139" s="222" t="s">
        <v>16</v>
      </c>
      <c r="M139" s="223"/>
      <c r="N139" s="217" t="s">
        <v>15</v>
      </c>
      <c r="O139" s="217" t="s">
        <v>409</v>
      </c>
      <c r="P139" s="30"/>
      <c r="Q139" s="30"/>
      <c r="R139" s="30"/>
      <c r="S139" s="30"/>
    </row>
    <row r="140" spans="1:20" x14ac:dyDescent="0.2">
      <c r="A140" s="191"/>
      <c r="B140" s="192"/>
      <c r="C140" s="192"/>
      <c r="D140" s="193"/>
      <c r="E140" s="218"/>
      <c r="F140" s="218" t="s">
        <v>17</v>
      </c>
      <c r="G140" s="218" t="s">
        <v>197</v>
      </c>
      <c r="H140" s="59" t="s">
        <v>15</v>
      </c>
      <c r="I140" s="59" t="s">
        <v>197</v>
      </c>
      <c r="J140" s="59" t="s">
        <v>15</v>
      </c>
      <c r="K140" s="59" t="s">
        <v>197</v>
      </c>
      <c r="L140" s="60" t="s">
        <v>15</v>
      </c>
      <c r="M140" s="59" t="s">
        <v>197</v>
      </c>
      <c r="N140" s="218"/>
      <c r="O140" s="218" t="s">
        <v>17</v>
      </c>
      <c r="P140" s="30"/>
      <c r="Q140" s="30"/>
      <c r="R140" s="30"/>
      <c r="S140" s="30"/>
    </row>
    <row r="141" spans="1:20" x14ac:dyDescent="0.2">
      <c r="A141" s="157" t="s">
        <v>8</v>
      </c>
      <c r="B141" s="158"/>
      <c r="C141" s="158"/>
      <c r="D141" s="159"/>
      <c r="E141" s="7"/>
      <c r="F141" s="42">
        <f>IF($E$169=0,0,E141/$E$169)</f>
        <v>0</v>
      </c>
      <c r="G141" s="42">
        <f>IF(($E$169-$E$168)=0,0,E141/($E$169-$E$168))</f>
        <v>0</v>
      </c>
      <c r="H141" s="7"/>
      <c r="I141" s="42">
        <f t="shared" ref="I141:I167" si="31">IF($E141=0,0,H141/$E141)</f>
        <v>0</v>
      </c>
      <c r="J141" s="7"/>
      <c r="K141" s="42">
        <f t="shared" ref="K141:K167" si="32">IF($E141=0,0,J141/$E141)</f>
        <v>0</v>
      </c>
      <c r="L141" s="61">
        <f>H141+J141</f>
        <v>0</v>
      </c>
      <c r="M141" s="42">
        <f>I141+K141</f>
        <v>0</v>
      </c>
      <c r="N141" s="7"/>
      <c r="O141" s="42">
        <f>IF(E$169-N$169=0,0,N141/(E$169-N$169))</f>
        <v>0</v>
      </c>
      <c r="P141" s="136" t="str">
        <f>IF(E141&gt;$E$169-$E$168,1,"")</f>
        <v/>
      </c>
      <c r="Q141" s="136" t="str">
        <f>IF(H141+J141&gt;$E141,1,"")</f>
        <v/>
      </c>
      <c r="R141" s="136" t="str">
        <f>IF(N141&gt;$E141,1,"")</f>
        <v/>
      </c>
      <c r="S141" s="136"/>
      <c r="T141" s="72"/>
    </row>
    <row r="142" spans="1:20" x14ac:dyDescent="0.2">
      <c r="A142" s="157" t="s">
        <v>206</v>
      </c>
      <c r="B142" s="158"/>
      <c r="C142" s="158"/>
      <c r="D142" s="159"/>
      <c r="E142" s="7"/>
      <c r="F142" s="42">
        <f t="shared" ref="F142:F169" si="33">IF($E$169=0,0,E142/$E$169)</f>
        <v>0</v>
      </c>
      <c r="G142" s="42">
        <f t="shared" ref="G142:G167" si="34">IF(($E$169-$E$168)=0,0,E142/($E$169-$E$168))</f>
        <v>0</v>
      </c>
      <c r="H142" s="7"/>
      <c r="I142" s="42">
        <f t="shared" si="31"/>
        <v>0</v>
      </c>
      <c r="J142" s="7"/>
      <c r="K142" s="42">
        <f t="shared" si="32"/>
        <v>0</v>
      </c>
      <c r="L142" s="61">
        <f t="shared" ref="L142:L167" si="35">H142+J142</f>
        <v>0</v>
      </c>
      <c r="M142" s="42">
        <f t="shared" ref="M142:M167" si="36">I142+K142</f>
        <v>0</v>
      </c>
      <c r="N142" s="7"/>
      <c r="O142" s="42">
        <f>IF(E$169-N$169=0,0,N142/(E$169-N$169))</f>
        <v>0</v>
      </c>
      <c r="P142" s="136" t="str">
        <f t="shared" ref="P142:P167" si="37">IF(E142&gt;$E$169-$E$168,1,"")</f>
        <v/>
      </c>
      <c r="Q142" s="136" t="str">
        <f t="shared" ref="Q142:Q167" si="38">IF(H142+J142&gt;$E142,1,"")</f>
        <v/>
      </c>
      <c r="R142" s="136" t="str">
        <f t="shared" ref="R142:R167" si="39">IF(N142&gt;$E142,1,"")</f>
        <v/>
      </c>
      <c r="S142" s="72"/>
      <c r="T142" s="72"/>
    </row>
    <row r="143" spans="1:20" x14ac:dyDescent="0.2">
      <c r="A143" s="157" t="s">
        <v>207</v>
      </c>
      <c r="B143" s="158"/>
      <c r="C143" s="158"/>
      <c r="D143" s="159"/>
      <c r="E143" s="7"/>
      <c r="F143" s="42">
        <f t="shared" si="33"/>
        <v>0</v>
      </c>
      <c r="G143" s="42">
        <f t="shared" si="34"/>
        <v>0</v>
      </c>
      <c r="H143" s="7"/>
      <c r="I143" s="42">
        <f t="shared" si="31"/>
        <v>0</v>
      </c>
      <c r="J143" s="7"/>
      <c r="K143" s="42">
        <f t="shared" si="32"/>
        <v>0</v>
      </c>
      <c r="L143" s="61">
        <f t="shared" si="35"/>
        <v>0</v>
      </c>
      <c r="M143" s="42">
        <f t="shared" si="36"/>
        <v>0</v>
      </c>
      <c r="N143" s="7"/>
      <c r="O143" s="42">
        <f>IF(E$169-N$169=0,0,N143/(E$169-N$169))</f>
        <v>0</v>
      </c>
      <c r="P143" s="136" t="str">
        <f t="shared" si="37"/>
        <v/>
      </c>
      <c r="Q143" s="136" t="str">
        <f t="shared" si="38"/>
        <v/>
      </c>
      <c r="R143" s="136" t="str">
        <f t="shared" si="39"/>
        <v/>
      </c>
      <c r="S143" s="72"/>
      <c r="T143" s="72"/>
    </row>
    <row r="144" spans="1:20" x14ac:dyDescent="0.2">
      <c r="A144" s="157" t="s">
        <v>208</v>
      </c>
      <c r="B144" s="158"/>
      <c r="C144" s="158"/>
      <c r="D144" s="159"/>
      <c r="E144" s="7"/>
      <c r="F144" s="42">
        <f t="shared" si="33"/>
        <v>0</v>
      </c>
      <c r="G144" s="42">
        <f t="shared" si="34"/>
        <v>0</v>
      </c>
      <c r="H144" s="7"/>
      <c r="I144" s="42">
        <f t="shared" si="31"/>
        <v>0</v>
      </c>
      <c r="J144" s="7"/>
      <c r="K144" s="42">
        <f t="shared" si="32"/>
        <v>0</v>
      </c>
      <c r="L144" s="61">
        <f t="shared" si="35"/>
        <v>0</v>
      </c>
      <c r="M144" s="42">
        <f t="shared" si="36"/>
        <v>0</v>
      </c>
      <c r="N144" s="7"/>
      <c r="O144" s="42">
        <f>IF(E$169-N$169=0,0,N144/(E$169-N$169))</f>
        <v>0</v>
      </c>
      <c r="P144" s="136" t="str">
        <f t="shared" si="37"/>
        <v/>
      </c>
      <c r="Q144" s="136" t="str">
        <f t="shared" si="38"/>
        <v/>
      </c>
      <c r="R144" s="136" t="str">
        <f t="shared" si="39"/>
        <v/>
      </c>
      <c r="S144" s="72"/>
      <c r="T144" s="72"/>
    </row>
    <row r="145" spans="1:20" x14ac:dyDescent="0.2">
      <c r="A145" s="157" t="s">
        <v>209</v>
      </c>
      <c r="B145" s="158"/>
      <c r="C145" s="158"/>
      <c r="D145" s="159"/>
      <c r="E145" s="7"/>
      <c r="F145" s="42">
        <f t="shared" si="33"/>
        <v>0</v>
      </c>
      <c r="G145" s="42">
        <f t="shared" si="34"/>
        <v>0</v>
      </c>
      <c r="H145" s="7"/>
      <c r="I145" s="42">
        <f t="shared" si="31"/>
        <v>0</v>
      </c>
      <c r="J145" s="7"/>
      <c r="K145" s="42">
        <f t="shared" si="32"/>
        <v>0</v>
      </c>
      <c r="L145" s="61">
        <f t="shared" si="35"/>
        <v>0</v>
      </c>
      <c r="M145" s="42">
        <f t="shared" si="36"/>
        <v>0</v>
      </c>
      <c r="N145" s="7"/>
      <c r="O145" s="42">
        <f t="shared" ref="O145:O168" si="40">IF(E$169-N$169=0,0,N145/(E$169-N$169))</f>
        <v>0</v>
      </c>
      <c r="P145" s="136" t="str">
        <f t="shared" si="37"/>
        <v/>
      </c>
      <c r="Q145" s="136" t="str">
        <f t="shared" si="38"/>
        <v/>
      </c>
      <c r="R145" s="136" t="str">
        <f t="shared" si="39"/>
        <v/>
      </c>
      <c r="S145" s="72"/>
      <c r="T145" s="72"/>
    </row>
    <row r="146" spans="1:20" ht="12.75" customHeight="1" x14ac:dyDescent="0.2">
      <c r="A146" s="157" t="s">
        <v>210</v>
      </c>
      <c r="B146" s="158"/>
      <c r="C146" s="158"/>
      <c r="D146" s="159"/>
      <c r="E146" s="7"/>
      <c r="F146" s="42">
        <f t="shared" si="33"/>
        <v>0</v>
      </c>
      <c r="G146" s="42">
        <f t="shared" si="34"/>
        <v>0</v>
      </c>
      <c r="H146" s="7"/>
      <c r="I146" s="42">
        <f t="shared" si="31"/>
        <v>0</v>
      </c>
      <c r="J146" s="7"/>
      <c r="K146" s="42">
        <f t="shared" si="32"/>
        <v>0</v>
      </c>
      <c r="L146" s="61">
        <f t="shared" si="35"/>
        <v>0</v>
      </c>
      <c r="M146" s="42">
        <f t="shared" si="36"/>
        <v>0</v>
      </c>
      <c r="N146" s="7"/>
      <c r="O146" s="42">
        <f t="shared" si="40"/>
        <v>0</v>
      </c>
      <c r="P146" s="136" t="str">
        <f t="shared" si="37"/>
        <v/>
      </c>
      <c r="Q146" s="136" t="str">
        <f t="shared" si="38"/>
        <v/>
      </c>
      <c r="R146" s="136" t="str">
        <f t="shared" si="39"/>
        <v/>
      </c>
      <c r="S146" s="72"/>
      <c r="T146" s="72"/>
    </row>
    <row r="147" spans="1:20" x14ac:dyDescent="0.2">
      <c r="A147" s="157" t="s">
        <v>211</v>
      </c>
      <c r="B147" s="158"/>
      <c r="C147" s="158"/>
      <c r="D147" s="159"/>
      <c r="E147" s="7"/>
      <c r="F147" s="42">
        <f t="shared" si="33"/>
        <v>0</v>
      </c>
      <c r="G147" s="42">
        <f t="shared" si="34"/>
        <v>0</v>
      </c>
      <c r="H147" s="7"/>
      <c r="I147" s="42">
        <f t="shared" si="31"/>
        <v>0</v>
      </c>
      <c r="J147" s="7"/>
      <c r="K147" s="42">
        <f t="shared" si="32"/>
        <v>0</v>
      </c>
      <c r="L147" s="61">
        <f t="shared" si="35"/>
        <v>0</v>
      </c>
      <c r="M147" s="42">
        <f t="shared" si="36"/>
        <v>0</v>
      </c>
      <c r="N147" s="7"/>
      <c r="O147" s="42">
        <f t="shared" si="40"/>
        <v>0</v>
      </c>
      <c r="P147" s="136" t="str">
        <f t="shared" si="37"/>
        <v/>
      </c>
      <c r="Q147" s="136" t="str">
        <f t="shared" si="38"/>
        <v/>
      </c>
      <c r="R147" s="136" t="str">
        <f t="shared" si="39"/>
        <v/>
      </c>
      <c r="S147" s="72"/>
      <c r="T147" s="72"/>
    </row>
    <row r="148" spans="1:20" ht="12.75" customHeight="1" x14ac:dyDescent="0.2">
      <c r="A148" s="157" t="s">
        <v>212</v>
      </c>
      <c r="B148" s="158"/>
      <c r="C148" s="158"/>
      <c r="D148" s="159"/>
      <c r="E148" s="7"/>
      <c r="F148" s="42">
        <f t="shared" si="33"/>
        <v>0</v>
      </c>
      <c r="G148" s="42">
        <f t="shared" si="34"/>
        <v>0</v>
      </c>
      <c r="H148" s="7"/>
      <c r="I148" s="42">
        <f t="shared" si="31"/>
        <v>0</v>
      </c>
      <c r="J148" s="7"/>
      <c r="K148" s="42">
        <f t="shared" si="32"/>
        <v>0</v>
      </c>
      <c r="L148" s="61">
        <f t="shared" si="35"/>
        <v>0</v>
      </c>
      <c r="M148" s="42">
        <f t="shared" si="36"/>
        <v>0</v>
      </c>
      <c r="N148" s="7"/>
      <c r="O148" s="42">
        <f t="shared" si="40"/>
        <v>0</v>
      </c>
      <c r="P148" s="136" t="str">
        <f t="shared" si="37"/>
        <v/>
      </c>
      <c r="Q148" s="136" t="str">
        <f t="shared" si="38"/>
        <v/>
      </c>
      <c r="R148" s="136" t="str">
        <f t="shared" si="39"/>
        <v/>
      </c>
      <c r="S148" s="72"/>
      <c r="T148" s="72"/>
    </row>
    <row r="149" spans="1:20" x14ac:dyDescent="0.2">
      <c r="A149" s="157" t="s">
        <v>213</v>
      </c>
      <c r="B149" s="158"/>
      <c r="C149" s="158"/>
      <c r="D149" s="159"/>
      <c r="E149" s="7"/>
      <c r="F149" s="42">
        <f t="shared" si="33"/>
        <v>0</v>
      </c>
      <c r="G149" s="42">
        <f t="shared" si="34"/>
        <v>0</v>
      </c>
      <c r="H149" s="7"/>
      <c r="I149" s="42">
        <f t="shared" si="31"/>
        <v>0</v>
      </c>
      <c r="J149" s="7"/>
      <c r="K149" s="42">
        <f t="shared" si="32"/>
        <v>0</v>
      </c>
      <c r="L149" s="61">
        <f t="shared" si="35"/>
        <v>0</v>
      </c>
      <c r="M149" s="42">
        <f t="shared" si="36"/>
        <v>0</v>
      </c>
      <c r="N149" s="7"/>
      <c r="O149" s="42">
        <f t="shared" si="40"/>
        <v>0</v>
      </c>
      <c r="P149" s="136" t="str">
        <f t="shared" si="37"/>
        <v/>
      </c>
      <c r="Q149" s="136" t="str">
        <f t="shared" si="38"/>
        <v/>
      </c>
      <c r="R149" s="136" t="str">
        <f t="shared" si="39"/>
        <v/>
      </c>
      <c r="S149" s="72"/>
      <c r="T149" s="72"/>
    </row>
    <row r="150" spans="1:20" x14ac:dyDescent="0.2">
      <c r="A150" s="157" t="s">
        <v>214</v>
      </c>
      <c r="B150" s="158"/>
      <c r="C150" s="158"/>
      <c r="D150" s="159"/>
      <c r="E150" s="7"/>
      <c r="F150" s="42">
        <f t="shared" si="33"/>
        <v>0</v>
      </c>
      <c r="G150" s="42">
        <f t="shared" si="34"/>
        <v>0</v>
      </c>
      <c r="H150" s="7"/>
      <c r="I150" s="42">
        <f t="shared" si="31"/>
        <v>0</v>
      </c>
      <c r="J150" s="7"/>
      <c r="K150" s="42">
        <f t="shared" si="32"/>
        <v>0</v>
      </c>
      <c r="L150" s="61">
        <f t="shared" si="35"/>
        <v>0</v>
      </c>
      <c r="M150" s="42">
        <f t="shared" si="36"/>
        <v>0</v>
      </c>
      <c r="N150" s="7"/>
      <c r="O150" s="42">
        <f t="shared" si="40"/>
        <v>0</v>
      </c>
      <c r="P150" s="136" t="str">
        <f t="shared" si="37"/>
        <v/>
      </c>
      <c r="Q150" s="136" t="str">
        <f t="shared" si="38"/>
        <v/>
      </c>
      <c r="R150" s="136" t="str">
        <f t="shared" si="39"/>
        <v/>
      </c>
      <c r="S150" s="72"/>
      <c r="T150" s="72"/>
    </row>
    <row r="151" spans="1:20" x14ac:dyDescent="0.2">
      <c r="A151" s="157" t="s">
        <v>215</v>
      </c>
      <c r="B151" s="158"/>
      <c r="C151" s="158"/>
      <c r="D151" s="159"/>
      <c r="E151" s="7"/>
      <c r="F151" s="42">
        <f t="shared" si="33"/>
        <v>0</v>
      </c>
      <c r="G151" s="42">
        <f t="shared" si="34"/>
        <v>0</v>
      </c>
      <c r="H151" s="7"/>
      <c r="I151" s="42">
        <f t="shared" si="31"/>
        <v>0</v>
      </c>
      <c r="J151" s="7"/>
      <c r="K151" s="42">
        <f t="shared" si="32"/>
        <v>0</v>
      </c>
      <c r="L151" s="61">
        <f t="shared" si="35"/>
        <v>0</v>
      </c>
      <c r="M151" s="42">
        <f t="shared" si="36"/>
        <v>0</v>
      </c>
      <c r="N151" s="7"/>
      <c r="O151" s="42">
        <f t="shared" si="40"/>
        <v>0</v>
      </c>
      <c r="P151" s="136" t="str">
        <f t="shared" si="37"/>
        <v/>
      </c>
      <c r="Q151" s="136" t="str">
        <f t="shared" si="38"/>
        <v/>
      </c>
      <c r="R151" s="136" t="str">
        <f t="shared" si="39"/>
        <v/>
      </c>
      <c r="S151" s="72"/>
      <c r="T151" s="72"/>
    </row>
    <row r="152" spans="1:20" ht="12.75" customHeight="1" x14ac:dyDescent="0.2">
      <c r="A152" s="157" t="s">
        <v>216</v>
      </c>
      <c r="B152" s="158"/>
      <c r="C152" s="158"/>
      <c r="D152" s="159"/>
      <c r="E152" s="7"/>
      <c r="F152" s="42">
        <f t="shared" si="33"/>
        <v>0</v>
      </c>
      <c r="G152" s="42">
        <f t="shared" si="34"/>
        <v>0</v>
      </c>
      <c r="H152" s="7"/>
      <c r="I152" s="42">
        <f t="shared" si="31"/>
        <v>0</v>
      </c>
      <c r="J152" s="7"/>
      <c r="K152" s="42">
        <f t="shared" si="32"/>
        <v>0</v>
      </c>
      <c r="L152" s="61">
        <f t="shared" si="35"/>
        <v>0</v>
      </c>
      <c r="M152" s="42">
        <f t="shared" si="36"/>
        <v>0</v>
      </c>
      <c r="N152" s="7"/>
      <c r="O152" s="42">
        <f t="shared" si="40"/>
        <v>0</v>
      </c>
      <c r="P152" s="136" t="str">
        <f t="shared" si="37"/>
        <v/>
      </c>
      <c r="Q152" s="136" t="str">
        <f t="shared" si="38"/>
        <v/>
      </c>
      <c r="R152" s="136" t="str">
        <f t="shared" si="39"/>
        <v/>
      </c>
      <c r="S152" s="72"/>
      <c r="T152" s="72"/>
    </row>
    <row r="153" spans="1:20" x14ac:dyDescent="0.2">
      <c r="A153" s="157" t="s">
        <v>217</v>
      </c>
      <c r="B153" s="158"/>
      <c r="C153" s="158"/>
      <c r="D153" s="159"/>
      <c r="E153" s="7"/>
      <c r="F153" s="42">
        <f t="shared" si="33"/>
        <v>0</v>
      </c>
      <c r="G153" s="42">
        <f t="shared" si="34"/>
        <v>0</v>
      </c>
      <c r="H153" s="7"/>
      <c r="I153" s="42">
        <f t="shared" si="31"/>
        <v>0</v>
      </c>
      <c r="J153" s="7"/>
      <c r="K153" s="42">
        <f t="shared" si="32"/>
        <v>0</v>
      </c>
      <c r="L153" s="61">
        <f t="shared" si="35"/>
        <v>0</v>
      </c>
      <c r="M153" s="42">
        <f t="shared" si="36"/>
        <v>0</v>
      </c>
      <c r="N153" s="7"/>
      <c r="O153" s="42">
        <f t="shared" si="40"/>
        <v>0</v>
      </c>
      <c r="P153" s="136" t="str">
        <f t="shared" si="37"/>
        <v/>
      </c>
      <c r="Q153" s="136" t="str">
        <f t="shared" si="38"/>
        <v/>
      </c>
      <c r="R153" s="136" t="str">
        <f t="shared" si="39"/>
        <v/>
      </c>
      <c r="S153" s="72"/>
      <c r="T153" s="72"/>
    </row>
    <row r="154" spans="1:20" x14ac:dyDescent="0.2">
      <c r="A154" s="157" t="s">
        <v>218</v>
      </c>
      <c r="B154" s="158"/>
      <c r="C154" s="158"/>
      <c r="D154" s="159"/>
      <c r="E154" s="7"/>
      <c r="F154" s="42">
        <f t="shared" si="33"/>
        <v>0</v>
      </c>
      <c r="G154" s="42">
        <f t="shared" si="34"/>
        <v>0</v>
      </c>
      <c r="H154" s="7"/>
      <c r="I154" s="42">
        <f t="shared" si="31"/>
        <v>0</v>
      </c>
      <c r="J154" s="7"/>
      <c r="K154" s="42">
        <f t="shared" si="32"/>
        <v>0</v>
      </c>
      <c r="L154" s="61">
        <f t="shared" si="35"/>
        <v>0</v>
      </c>
      <c r="M154" s="42">
        <f t="shared" si="36"/>
        <v>0</v>
      </c>
      <c r="N154" s="7"/>
      <c r="O154" s="42">
        <f t="shared" si="40"/>
        <v>0</v>
      </c>
      <c r="P154" s="136" t="str">
        <f t="shared" si="37"/>
        <v/>
      </c>
      <c r="Q154" s="136" t="str">
        <f t="shared" si="38"/>
        <v/>
      </c>
      <c r="R154" s="136" t="str">
        <f t="shared" si="39"/>
        <v/>
      </c>
      <c r="S154" s="72"/>
      <c r="T154" s="72"/>
    </row>
    <row r="155" spans="1:20" x14ac:dyDescent="0.2">
      <c r="A155" s="157" t="s">
        <v>219</v>
      </c>
      <c r="B155" s="158"/>
      <c r="C155" s="158"/>
      <c r="D155" s="159"/>
      <c r="E155" s="7"/>
      <c r="F155" s="42">
        <f t="shared" si="33"/>
        <v>0</v>
      </c>
      <c r="G155" s="42">
        <f t="shared" si="34"/>
        <v>0</v>
      </c>
      <c r="H155" s="7"/>
      <c r="I155" s="42">
        <f t="shared" si="31"/>
        <v>0</v>
      </c>
      <c r="J155" s="7"/>
      <c r="K155" s="42">
        <f t="shared" si="32"/>
        <v>0</v>
      </c>
      <c r="L155" s="61">
        <f t="shared" si="35"/>
        <v>0</v>
      </c>
      <c r="M155" s="42">
        <f t="shared" si="36"/>
        <v>0</v>
      </c>
      <c r="N155" s="7"/>
      <c r="O155" s="42">
        <f t="shared" si="40"/>
        <v>0</v>
      </c>
      <c r="P155" s="136" t="str">
        <f t="shared" si="37"/>
        <v/>
      </c>
      <c r="Q155" s="136" t="str">
        <f t="shared" si="38"/>
        <v/>
      </c>
      <c r="R155" s="136" t="str">
        <f t="shared" si="39"/>
        <v/>
      </c>
      <c r="S155" s="72"/>
      <c r="T155" s="72"/>
    </row>
    <row r="156" spans="1:20" ht="12.75" customHeight="1" x14ac:dyDescent="0.2">
      <c r="A156" s="157" t="s">
        <v>220</v>
      </c>
      <c r="B156" s="158"/>
      <c r="C156" s="158"/>
      <c r="D156" s="159"/>
      <c r="E156" s="7"/>
      <c r="F156" s="42">
        <f t="shared" si="33"/>
        <v>0</v>
      </c>
      <c r="G156" s="42">
        <f t="shared" si="34"/>
        <v>0</v>
      </c>
      <c r="H156" s="7"/>
      <c r="I156" s="42">
        <f t="shared" si="31"/>
        <v>0</v>
      </c>
      <c r="J156" s="7"/>
      <c r="K156" s="42">
        <f t="shared" si="32"/>
        <v>0</v>
      </c>
      <c r="L156" s="61">
        <f t="shared" si="35"/>
        <v>0</v>
      </c>
      <c r="M156" s="42">
        <f t="shared" si="36"/>
        <v>0</v>
      </c>
      <c r="N156" s="7"/>
      <c r="O156" s="42">
        <f t="shared" si="40"/>
        <v>0</v>
      </c>
      <c r="P156" s="136" t="str">
        <f t="shared" si="37"/>
        <v/>
      </c>
      <c r="Q156" s="136" t="str">
        <f t="shared" si="38"/>
        <v/>
      </c>
      <c r="R156" s="136" t="str">
        <f t="shared" si="39"/>
        <v/>
      </c>
      <c r="S156" s="72"/>
      <c r="T156" s="72"/>
    </row>
    <row r="157" spans="1:20" ht="12.75" customHeight="1" x14ac:dyDescent="0.2">
      <c r="A157" s="157" t="s">
        <v>221</v>
      </c>
      <c r="B157" s="158"/>
      <c r="C157" s="158"/>
      <c r="D157" s="159"/>
      <c r="E157" s="7"/>
      <c r="F157" s="42">
        <f t="shared" si="33"/>
        <v>0</v>
      </c>
      <c r="G157" s="42">
        <f t="shared" si="34"/>
        <v>0</v>
      </c>
      <c r="H157" s="7"/>
      <c r="I157" s="42">
        <f t="shared" si="31"/>
        <v>0</v>
      </c>
      <c r="J157" s="7"/>
      <c r="K157" s="42">
        <f t="shared" si="32"/>
        <v>0</v>
      </c>
      <c r="L157" s="61">
        <f t="shared" si="35"/>
        <v>0</v>
      </c>
      <c r="M157" s="42">
        <f t="shared" si="36"/>
        <v>0</v>
      </c>
      <c r="N157" s="7"/>
      <c r="O157" s="42">
        <f t="shared" si="40"/>
        <v>0</v>
      </c>
      <c r="P157" s="136" t="str">
        <f t="shared" si="37"/>
        <v/>
      </c>
      <c r="Q157" s="136" t="str">
        <f t="shared" si="38"/>
        <v/>
      </c>
      <c r="R157" s="136" t="str">
        <f t="shared" si="39"/>
        <v/>
      </c>
      <c r="S157" s="72"/>
      <c r="T157" s="72"/>
    </row>
    <row r="158" spans="1:20" x14ac:dyDescent="0.2">
      <c r="A158" s="157" t="s">
        <v>222</v>
      </c>
      <c r="B158" s="158"/>
      <c r="C158" s="158"/>
      <c r="D158" s="159"/>
      <c r="E158" s="7"/>
      <c r="F158" s="42">
        <f t="shared" si="33"/>
        <v>0</v>
      </c>
      <c r="G158" s="42">
        <f t="shared" si="34"/>
        <v>0</v>
      </c>
      <c r="H158" s="7"/>
      <c r="I158" s="42">
        <f t="shared" si="31"/>
        <v>0</v>
      </c>
      <c r="J158" s="7"/>
      <c r="K158" s="42">
        <f t="shared" si="32"/>
        <v>0</v>
      </c>
      <c r="L158" s="61">
        <f t="shared" si="35"/>
        <v>0</v>
      </c>
      <c r="M158" s="42">
        <f t="shared" si="36"/>
        <v>0</v>
      </c>
      <c r="N158" s="7"/>
      <c r="O158" s="42">
        <f t="shared" si="40"/>
        <v>0</v>
      </c>
      <c r="P158" s="136" t="str">
        <f t="shared" si="37"/>
        <v/>
      </c>
      <c r="Q158" s="136" t="str">
        <f t="shared" si="38"/>
        <v/>
      </c>
      <c r="R158" s="136" t="str">
        <f t="shared" si="39"/>
        <v/>
      </c>
      <c r="S158" s="72"/>
      <c r="T158" s="72"/>
    </row>
    <row r="159" spans="1:20" x14ac:dyDescent="0.2">
      <c r="A159" s="157" t="s">
        <v>223</v>
      </c>
      <c r="B159" s="158"/>
      <c r="C159" s="158"/>
      <c r="D159" s="159"/>
      <c r="E159" s="7"/>
      <c r="F159" s="42">
        <f t="shared" si="33"/>
        <v>0</v>
      </c>
      <c r="G159" s="42">
        <f t="shared" si="34"/>
        <v>0</v>
      </c>
      <c r="H159" s="7"/>
      <c r="I159" s="42">
        <f t="shared" si="31"/>
        <v>0</v>
      </c>
      <c r="J159" s="7"/>
      <c r="K159" s="42">
        <f t="shared" si="32"/>
        <v>0</v>
      </c>
      <c r="L159" s="61">
        <f t="shared" si="35"/>
        <v>0</v>
      </c>
      <c r="M159" s="42">
        <f t="shared" si="36"/>
        <v>0</v>
      </c>
      <c r="N159" s="7"/>
      <c r="O159" s="42">
        <f t="shared" si="40"/>
        <v>0</v>
      </c>
      <c r="P159" s="136" t="str">
        <f t="shared" si="37"/>
        <v/>
      </c>
      <c r="Q159" s="136" t="str">
        <f t="shared" si="38"/>
        <v/>
      </c>
      <c r="R159" s="136" t="str">
        <f t="shared" si="39"/>
        <v/>
      </c>
      <c r="S159" s="72"/>
      <c r="T159" s="72"/>
    </row>
    <row r="160" spans="1:20" x14ac:dyDescent="0.2">
      <c r="A160" s="157" t="s">
        <v>224</v>
      </c>
      <c r="B160" s="158"/>
      <c r="C160" s="158"/>
      <c r="D160" s="159"/>
      <c r="E160" s="7"/>
      <c r="F160" s="42">
        <f t="shared" si="33"/>
        <v>0</v>
      </c>
      <c r="G160" s="42">
        <f t="shared" si="34"/>
        <v>0</v>
      </c>
      <c r="H160" s="7"/>
      <c r="I160" s="42">
        <f t="shared" si="31"/>
        <v>0</v>
      </c>
      <c r="J160" s="7"/>
      <c r="K160" s="42">
        <f t="shared" si="32"/>
        <v>0</v>
      </c>
      <c r="L160" s="61">
        <f t="shared" si="35"/>
        <v>0</v>
      </c>
      <c r="M160" s="42">
        <f t="shared" si="36"/>
        <v>0</v>
      </c>
      <c r="N160" s="7"/>
      <c r="O160" s="42">
        <f t="shared" si="40"/>
        <v>0</v>
      </c>
      <c r="P160" s="136" t="str">
        <f t="shared" si="37"/>
        <v/>
      </c>
      <c r="Q160" s="136" t="str">
        <f t="shared" si="38"/>
        <v/>
      </c>
      <c r="R160" s="136" t="str">
        <f t="shared" si="39"/>
        <v/>
      </c>
      <c r="S160" s="72"/>
      <c r="T160" s="72"/>
    </row>
    <row r="161" spans="1:20" x14ac:dyDescent="0.2">
      <c r="A161" s="157" t="s">
        <v>225</v>
      </c>
      <c r="B161" s="158"/>
      <c r="C161" s="158"/>
      <c r="D161" s="159"/>
      <c r="E161" s="7"/>
      <c r="F161" s="42">
        <f t="shared" si="33"/>
        <v>0</v>
      </c>
      <c r="G161" s="42">
        <f t="shared" si="34"/>
        <v>0</v>
      </c>
      <c r="H161" s="7"/>
      <c r="I161" s="42">
        <f t="shared" si="31"/>
        <v>0</v>
      </c>
      <c r="J161" s="7"/>
      <c r="K161" s="42">
        <f t="shared" si="32"/>
        <v>0</v>
      </c>
      <c r="L161" s="61">
        <f t="shared" si="35"/>
        <v>0</v>
      </c>
      <c r="M161" s="42">
        <f t="shared" si="36"/>
        <v>0</v>
      </c>
      <c r="N161" s="7"/>
      <c r="O161" s="42">
        <f t="shared" si="40"/>
        <v>0</v>
      </c>
      <c r="P161" s="136" t="str">
        <f t="shared" si="37"/>
        <v/>
      </c>
      <c r="Q161" s="136" t="str">
        <f t="shared" si="38"/>
        <v/>
      </c>
      <c r="R161" s="136" t="str">
        <f t="shared" si="39"/>
        <v/>
      </c>
      <c r="S161" s="72"/>
      <c r="T161" s="72"/>
    </row>
    <row r="162" spans="1:20" x14ac:dyDescent="0.2">
      <c r="A162" s="157" t="s">
        <v>226</v>
      </c>
      <c r="B162" s="158"/>
      <c r="C162" s="158"/>
      <c r="D162" s="159"/>
      <c r="E162" s="7"/>
      <c r="F162" s="42">
        <f t="shared" si="33"/>
        <v>0</v>
      </c>
      <c r="G162" s="42">
        <f t="shared" si="34"/>
        <v>0</v>
      </c>
      <c r="H162" s="7"/>
      <c r="I162" s="42">
        <f t="shared" si="31"/>
        <v>0</v>
      </c>
      <c r="J162" s="7"/>
      <c r="K162" s="42">
        <f t="shared" si="32"/>
        <v>0</v>
      </c>
      <c r="L162" s="61">
        <f t="shared" si="35"/>
        <v>0</v>
      </c>
      <c r="M162" s="42">
        <f t="shared" si="36"/>
        <v>0</v>
      </c>
      <c r="N162" s="7"/>
      <c r="O162" s="42">
        <f t="shared" si="40"/>
        <v>0</v>
      </c>
      <c r="P162" s="136" t="str">
        <f t="shared" si="37"/>
        <v/>
      </c>
      <c r="Q162" s="136" t="str">
        <f t="shared" si="38"/>
        <v/>
      </c>
      <c r="R162" s="136" t="str">
        <f t="shared" si="39"/>
        <v/>
      </c>
      <c r="S162" s="72"/>
      <c r="T162" s="72"/>
    </row>
    <row r="163" spans="1:20" x14ac:dyDescent="0.2">
      <c r="A163" s="157" t="s">
        <v>227</v>
      </c>
      <c r="B163" s="158"/>
      <c r="C163" s="158"/>
      <c r="D163" s="159"/>
      <c r="E163" s="7"/>
      <c r="F163" s="42">
        <f t="shared" si="33"/>
        <v>0</v>
      </c>
      <c r="G163" s="42">
        <f t="shared" si="34"/>
        <v>0</v>
      </c>
      <c r="H163" s="7"/>
      <c r="I163" s="42">
        <f t="shared" si="31"/>
        <v>0</v>
      </c>
      <c r="J163" s="7"/>
      <c r="K163" s="42">
        <f t="shared" si="32"/>
        <v>0</v>
      </c>
      <c r="L163" s="61">
        <f t="shared" si="35"/>
        <v>0</v>
      </c>
      <c r="M163" s="42">
        <f t="shared" si="36"/>
        <v>0</v>
      </c>
      <c r="N163" s="7"/>
      <c r="O163" s="42">
        <f t="shared" si="40"/>
        <v>0</v>
      </c>
      <c r="P163" s="136" t="str">
        <f t="shared" si="37"/>
        <v/>
      </c>
      <c r="Q163" s="136" t="str">
        <f t="shared" si="38"/>
        <v/>
      </c>
      <c r="R163" s="136" t="str">
        <f t="shared" si="39"/>
        <v/>
      </c>
      <c r="S163" s="72"/>
      <c r="T163" s="72"/>
    </row>
    <row r="164" spans="1:20" x14ac:dyDescent="0.2">
      <c r="A164" s="157" t="s">
        <v>7</v>
      </c>
      <c r="B164" s="158"/>
      <c r="C164" s="158"/>
      <c r="D164" s="159"/>
      <c r="E164" s="7"/>
      <c r="F164" s="42">
        <f t="shared" si="33"/>
        <v>0</v>
      </c>
      <c r="G164" s="42">
        <f t="shared" si="34"/>
        <v>0</v>
      </c>
      <c r="H164" s="7"/>
      <c r="I164" s="42">
        <f t="shared" si="31"/>
        <v>0</v>
      </c>
      <c r="J164" s="7"/>
      <c r="K164" s="42">
        <f t="shared" si="32"/>
        <v>0</v>
      </c>
      <c r="L164" s="61">
        <f t="shared" si="35"/>
        <v>0</v>
      </c>
      <c r="M164" s="42">
        <f t="shared" si="36"/>
        <v>0</v>
      </c>
      <c r="N164" s="7"/>
      <c r="O164" s="42">
        <f t="shared" si="40"/>
        <v>0</v>
      </c>
      <c r="P164" s="136" t="str">
        <f t="shared" si="37"/>
        <v/>
      </c>
      <c r="Q164" s="136" t="str">
        <f t="shared" si="38"/>
        <v/>
      </c>
      <c r="R164" s="136" t="str">
        <f t="shared" si="39"/>
        <v/>
      </c>
      <c r="S164" s="72"/>
      <c r="T164" s="72"/>
    </row>
    <row r="165" spans="1:20" ht="12.75" customHeight="1" x14ac:dyDescent="0.2">
      <c r="A165" s="157" t="s">
        <v>228</v>
      </c>
      <c r="B165" s="158"/>
      <c r="C165" s="158"/>
      <c r="D165" s="159"/>
      <c r="E165" s="7"/>
      <c r="F165" s="42">
        <f t="shared" si="33"/>
        <v>0</v>
      </c>
      <c r="G165" s="42">
        <f t="shared" si="34"/>
        <v>0</v>
      </c>
      <c r="H165" s="7"/>
      <c r="I165" s="42">
        <f t="shared" si="31"/>
        <v>0</v>
      </c>
      <c r="J165" s="7"/>
      <c r="K165" s="42">
        <f t="shared" si="32"/>
        <v>0</v>
      </c>
      <c r="L165" s="61">
        <f t="shared" si="35"/>
        <v>0</v>
      </c>
      <c r="M165" s="42">
        <f t="shared" si="36"/>
        <v>0</v>
      </c>
      <c r="N165" s="7"/>
      <c r="O165" s="42">
        <f t="shared" si="40"/>
        <v>0</v>
      </c>
      <c r="P165" s="136" t="str">
        <f t="shared" si="37"/>
        <v/>
      </c>
      <c r="Q165" s="136" t="str">
        <f t="shared" si="38"/>
        <v/>
      </c>
      <c r="R165" s="136" t="str">
        <f t="shared" si="39"/>
        <v/>
      </c>
      <c r="S165" s="72"/>
      <c r="T165" s="72"/>
    </row>
    <row r="166" spans="1:20" ht="12.75" customHeight="1" x14ac:dyDescent="0.2">
      <c r="A166" s="157" t="s">
        <v>392</v>
      </c>
      <c r="B166" s="158"/>
      <c r="C166" s="158"/>
      <c r="D166" s="159"/>
      <c r="E166" s="7"/>
      <c r="F166" s="42">
        <f t="shared" si="33"/>
        <v>0</v>
      </c>
      <c r="G166" s="42">
        <f t="shared" si="34"/>
        <v>0</v>
      </c>
      <c r="H166" s="7"/>
      <c r="I166" s="42">
        <f t="shared" si="31"/>
        <v>0</v>
      </c>
      <c r="J166" s="7"/>
      <c r="K166" s="42">
        <f t="shared" si="32"/>
        <v>0</v>
      </c>
      <c r="L166" s="61">
        <f t="shared" si="35"/>
        <v>0</v>
      </c>
      <c r="M166" s="42">
        <f t="shared" si="36"/>
        <v>0</v>
      </c>
      <c r="N166" s="7"/>
      <c r="O166" s="42">
        <f t="shared" si="40"/>
        <v>0</v>
      </c>
      <c r="P166" s="136" t="str">
        <f t="shared" si="37"/>
        <v/>
      </c>
      <c r="Q166" s="136" t="str">
        <f t="shared" si="38"/>
        <v/>
      </c>
      <c r="R166" s="136" t="str">
        <f t="shared" si="39"/>
        <v/>
      </c>
      <c r="S166" s="72"/>
      <c r="T166" s="72"/>
    </row>
    <row r="167" spans="1:20" ht="13.5" customHeight="1" thickBot="1" x14ac:dyDescent="0.25">
      <c r="A167" s="166" t="s">
        <v>229</v>
      </c>
      <c r="B167" s="167"/>
      <c r="C167" s="167"/>
      <c r="D167" s="168"/>
      <c r="E167" s="8"/>
      <c r="F167" s="47">
        <f t="shared" si="33"/>
        <v>0</v>
      </c>
      <c r="G167" s="47">
        <f t="shared" si="34"/>
        <v>0</v>
      </c>
      <c r="H167" s="8"/>
      <c r="I167" s="47">
        <f t="shared" si="31"/>
        <v>0</v>
      </c>
      <c r="J167" s="8"/>
      <c r="K167" s="47">
        <f t="shared" si="32"/>
        <v>0</v>
      </c>
      <c r="L167" s="125">
        <f t="shared" si="35"/>
        <v>0</v>
      </c>
      <c r="M167" s="47">
        <f t="shared" si="36"/>
        <v>0</v>
      </c>
      <c r="N167" s="8"/>
      <c r="O167" s="47">
        <f t="shared" si="40"/>
        <v>0</v>
      </c>
      <c r="P167" s="136" t="str">
        <f t="shared" si="37"/>
        <v/>
      </c>
      <c r="Q167" s="136" t="str">
        <f t="shared" si="38"/>
        <v/>
      </c>
      <c r="R167" s="136" t="str">
        <f t="shared" si="39"/>
        <v/>
      </c>
      <c r="S167" s="72"/>
      <c r="T167" s="72"/>
    </row>
    <row r="168" spans="1:20" ht="14.25" customHeight="1" thickTop="1" thickBot="1" x14ac:dyDescent="0.25">
      <c r="A168" s="194" t="s">
        <v>230</v>
      </c>
      <c r="B168" s="195"/>
      <c r="C168" s="195"/>
      <c r="D168" s="196"/>
      <c r="E168" s="11"/>
      <c r="F168" s="78">
        <f t="shared" si="33"/>
        <v>0</v>
      </c>
      <c r="G168" s="78"/>
      <c r="H168" s="63"/>
      <c r="I168" s="64"/>
      <c r="J168" s="65"/>
      <c r="K168" s="291" t="s">
        <v>398</v>
      </c>
      <c r="L168" s="374"/>
      <c r="M168" s="375"/>
      <c r="N168" s="10"/>
      <c r="O168" s="54">
        <f t="shared" si="40"/>
        <v>0</v>
      </c>
      <c r="P168" s="136"/>
      <c r="Q168" s="72"/>
      <c r="R168" s="72"/>
      <c r="S168" s="72"/>
      <c r="T168" s="72"/>
    </row>
    <row r="169" spans="1:20" ht="13.5" thickTop="1" x14ac:dyDescent="0.2">
      <c r="A169" s="384" t="s">
        <v>16</v>
      </c>
      <c r="B169" s="385"/>
      <c r="C169" s="385"/>
      <c r="D169" s="386"/>
      <c r="E169" s="51">
        <f>K41</f>
        <v>0</v>
      </c>
      <c r="F169" s="50">
        <f t="shared" si="33"/>
        <v>0</v>
      </c>
      <c r="G169" s="50"/>
      <c r="H169" s="66"/>
      <c r="I169" s="67"/>
      <c r="J169" s="68"/>
      <c r="K169" s="379" t="s">
        <v>426</v>
      </c>
      <c r="L169" s="380"/>
      <c r="M169" s="381"/>
      <c r="N169" s="138"/>
      <c r="O169" s="48">
        <f t="shared" ref="O169" si="41">IF(E$169=0,0,N169/E$169)</f>
        <v>0</v>
      </c>
      <c r="P169" s="62" t="str">
        <f>IF(SUM(N141:N169)=$E$169,"","Summe Spalte N muss Anzahl aus E167 ergeben ")</f>
        <v/>
      </c>
      <c r="Q169" s="30"/>
      <c r="R169" s="30"/>
      <c r="S169" s="69"/>
    </row>
    <row r="170" spans="1:20" x14ac:dyDescent="0.2">
      <c r="A170" s="31" t="s">
        <v>239</v>
      </c>
      <c r="H170" s="31" t="s">
        <v>342</v>
      </c>
      <c r="K170" s="31" t="s">
        <v>427</v>
      </c>
      <c r="P170" s="57">
        <f>SUM(P141:P168)</f>
        <v>0</v>
      </c>
      <c r="Q170" s="57">
        <f>SUM(Q141:Q167)</f>
        <v>0</v>
      </c>
      <c r="R170" s="57">
        <f t="shared" ref="R170" si="42">SUM(R141:R167)</f>
        <v>0</v>
      </c>
      <c r="S170" s="57"/>
    </row>
    <row r="171" spans="1:20" x14ac:dyDescent="0.2">
      <c r="A171" s="56"/>
      <c r="E171" s="56" t="str">
        <f>IF(Q204&gt;0,"Einzeleinträge H139-H165 / J139-J165 nicht höher als Lifetimeeinträge","")</f>
        <v/>
      </c>
      <c r="K171" s="56" t="str">
        <f>IF(R194&gt;0,"Hauptspielform Anzahl darf nicht höher als Gesamtanzahl der Spieltage sein","")</f>
        <v/>
      </c>
    </row>
    <row r="172" spans="1:20" x14ac:dyDescent="0.2">
      <c r="A172" s="185" t="s">
        <v>253</v>
      </c>
      <c r="B172" s="186"/>
      <c r="C172" s="186"/>
      <c r="D172" s="187"/>
      <c r="E172" s="396" t="s">
        <v>252</v>
      </c>
      <c r="F172" s="397"/>
      <c r="G172" s="398"/>
      <c r="H172" s="246" t="s">
        <v>344</v>
      </c>
      <c r="I172" s="247"/>
      <c r="J172" s="247"/>
      <c r="K172" s="247"/>
      <c r="L172" s="247"/>
      <c r="M172" s="223"/>
      <c r="N172" s="215" t="s">
        <v>400</v>
      </c>
      <c r="O172" s="216"/>
    </row>
    <row r="173" spans="1:20" x14ac:dyDescent="0.2">
      <c r="A173" s="188"/>
      <c r="B173" s="189"/>
      <c r="C173" s="189"/>
      <c r="D173" s="190"/>
      <c r="E173" s="240" t="s">
        <v>15</v>
      </c>
      <c r="F173" s="249" t="s">
        <v>17</v>
      </c>
      <c r="G173" s="230" t="s">
        <v>197</v>
      </c>
      <c r="H173" s="245" t="s">
        <v>365</v>
      </c>
      <c r="I173" s="216"/>
      <c r="J173" s="222" t="s">
        <v>366</v>
      </c>
      <c r="K173" s="252"/>
      <c r="L173" s="222" t="s">
        <v>16</v>
      </c>
      <c r="M173" s="223"/>
      <c r="N173" s="217" t="s">
        <v>15</v>
      </c>
      <c r="O173" s="217" t="s">
        <v>197</v>
      </c>
    </row>
    <row r="174" spans="1:20" x14ac:dyDescent="0.2">
      <c r="A174" s="191"/>
      <c r="B174" s="192"/>
      <c r="C174" s="192"/>
      <c r="D174" s="193"/>
      <c r="E174" s="248"/>
      <c r="F174" s="250" t="s">
        <v>17</v>
      </c>
      <c r="G174" s="251" t="s">
        <v>197</v>
      </c>
      <c r="H174" s="111" t="s">
        <v>15</v>
      </c>
      <c r="I174" s="59" t="s">
        <v>197</v>
      </c>
      <c r="J174" s="59" t="s">
        <v>15</v>
      </c>
      <c r="K174" s="59" t="s">
        <v>197</v>
      </c>
      <c r="L174" s="60" t="s">
        <v>15</v>
      </c>
      <c r="M174" s="59" t="s">
        <v>197</v>
      </c>
      <c r="N174" s="218"/>
      <c r="O174" s="218" t="s">
        <v>17</v>
      </c>
    </row>
    <row r="175" spans="1:20" x14ac:dyDescent="0.2">
      <c r="A175" s="242" t="s">
        <v>231</v>
      </c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4"/>
    </row>
    <row r="176" spans="1:20" ht="12.75" customHeight="1" x14ac:dyDescent="0.2">
      <c r="A176" s="157" t="s">
        <v>241</v>
      </c>
      <c r="B176" s="158"/>
      <c r="C176" s="158"/>
      <c r="D176" s="159"/>
      <c r="E176" s="113"/>
      <c r="F176" s="114">
        <f>IF($E$193=0,0,E176/$E$193)</f>
        <v>0</v>
      </c>
      <c r="G176" s="115">
        <f>IF(($E$193-$E$192)=0,0,E176/($E$193-$E$192))</f>
        <v>0</v>
      </c>
      <c r="H176" s="12"/>
      <c r="I176" s="42">
        <f t="shared" ref="I176:I183" si="43">IF($L176=0,0,H176/$L176)</f>
        <v>0</v>
      </c>
      <c r="J176" s="7"/>
      <c r="K176" s="42">
        <f t="shared" ref="K176:K183" si="44">IF($L176=0,0,J176/$L176)</f>
        <v>0</v>
      </c>
      <c r="L176" s="61">
        <f t="shared" ref="L176:L183" si="45">H176+J176</f>
        <v>0</v>
      </c>
      <c r="M176" s="42">
        <f>I176+K176</f>
        <v>0</v>
      </c>
      <c r="N176" s="7"/>
      <c r="O176" s="42">
        <f>IF(SUM(N$176:N$192)=0,0,N176/(SUM(N$176:N$192)))</f>
        <v>0</v>
      </c>
      <c r="P176" s="136"/>
      <c r="Q176" s="136"/>
      <c r="R176" s="136" t="str">
        <f>IF(N176&gt;H176+J176,1,"")</f>
        <v/>
      </c>
      <c r="S176" s="136"/>
      <c r="T176" s="72"/>
    </row>
    <row r="177" spans="1:20" ht="12.75" customHeight="1" x14ac:dyDescent="0.2">
      <c r="A177" s="157" t="s">
        <v>242</v>
      </c>
      <c r="B177" s="158"/>
      <c r="C177" s="158"/>
      <c r="D177" s="159"/>
      <c r="E177" s="116"/>
      <c r="F177" s="112">
        <f t="shared" ref="F177:F183" si="46">IF($E$193=0,0,E177/$E$193)</f>
        <v>0</v>
      </c>
      <c r="G177" s="117">
        <f t="shared" ref="G177:G183" si="47">IF(($E$193-$E$192)=0,0,E177/($E$193-$E$192))</f>
        <v>0</v>
      </c>
      <c r="H177" s="12"/>
      <c r="I177" s="42">
        <f t="shared" si="43"/>
        <v>0</v>
      </c>
      <c r="J177" s="7"/>
      <c r="K177" s="42">
        <f t="shared" si="44"/>
        <v>0</v>
      </c>
      <c r="L177" s="61">
        <f t="shared" si="45"/>
        <v>0</v>
      </c>
      <c r="M177" s="42">
        <f t="shared" ref="M177:M183" si="48">I177+K177</f>
        <v>0</v>
      </c>
      <c r="N177" s="7"/>
      <c r="O177" s="42">
        <f t="shared" ref="O177:O192" si="49">IF(SUM(N$176:N$192)=0,0,N177/(SUM(N$176:N$192)))</f>
        <v>0</v>
      </c>
      <c r="P177" s="136"/>
      <c r="Q177" s="136"/>
      <c r="R177" s="136" t="str">
        <f t="shared" ref="R177:R191" si="50">IF(N177&gt;H177+J177,1,"")</f>
        <v/>
      </c>
      <c r="S177" s="72"/>
      <c r="T177" s="72"/>
    </row>
    <row r="178" spans="1:20" ht="12.75" customHeight="1" x14ac:dyDescent="0.2">
      <c r="A178" s="157" t="s">
        <v>243</v>
      </c>
      <c r="B178" s="158"/>
      <c r="C178" s="158"/>
      <c r="D178" s="159"/>
      <c r="E178" s="116"/>
      <c r="F178" s="112">
        <f t="shared" si="46"/>
        <v>0</v>
      </c>
      <c r="G178" s="117">
        <f t="shared" si="47"/>
        <v>0</v>
      </c>
      <c r="H178" s="12"/>
      <c r="I178" s="42">
        <f t="shared" si="43"/>
        <v>0</v>
      </c>
      <c r="J178" s="7"/>
      <c r="K178" s="42">
        <f t="shared" si="44"/>
        <v>0</v>
      </c>
      <c r="L178" s="61">
        <f t="shared" si="45"/>
        <v>0</v>
      </c>
      <c r="M178" s="42">
        <f t="shared" si="48"/>
        <v>0</v>
      </c>
      <c r="N178" s="7"/>
      <c r="O178" s="42">
        <f t="shared" si="49"/>
        <v>0</v>
      </c>
      <c r="P178" s="136"/>
      <c r="Q178" s="136"/>
      <c r="R178" s="136" t="str">
        <f t="shared" si="50"/>
        <v/>
      </c>
      <c r="S178" s="72"/>
      <c r="T178" s="72"/>
    </row>
    <row r="179" spans="1:20" ht="12.75" customHeight="1" x14ac:dyDescent="0.2">
      <c r="A179" s="157" t="s">
        <v>244</v>
      </c>
      <c r="B179" s="158"/>
      <c r="C179" s="158"/>
      <c r="D179" s="159"/>
      <c r="E179" s="116"/>
      <c r="F179" s="112">
        <f t="shared" si="46"/>
        <v>0</v>
      </c>
      <c r="G179" s="117">
        <f t="shared" si="47"/>
        <v>0</v>
      </c>
      <c r="H179" s="12"/>
      <c r="I179" s="42">
        <f t="shared" si="43"/>
        <v>0</v>
      </c>
      <c r="J179" s="7"/>
      <c r="K179" s="42">
        <f t="shared" si="44"/>
        <v>0</v>
      </c>
      <c r="L179" s="61">
        <f t="shared" si="45"/>
        <v>0</v>
      </c>
      <c r="M179" s="42">
        <f t="shared" si="48"/>
        <v>0</v>
      </c>
      <c r="N179" s="7"/>
      <c r="O179" s="42">
        <f t="shared" si="49"/>
        <v>0</v>
      </c>
      <c r="P179" s="136"/>
      <c r="Q179" s="136"/>
      <c r="R179" s="136" t="str">
        <f t="shared" si="50"/>
        <v/>
      </c>
      <c r="S179" s="72"/>
      <c r="T179" s="72"/>
    </row>
    <row r="180" spans="1:20" x14ac:dyDescent="0.2">
      <c r="A180" s="157" t="s">
        <v>245</v>
      </c>
      <c r="B180" s="158"/>
      <c r="C180" s="158"/>
      <c r="D180" s="159"/>
      <c r="E180" s="116"/>
      <c r="F180" s="112">
        <f t="shared" si="46"/>
        <v>0</v>
      </c>
      <c r="G180" s="117">
        <f t="shared" si="47"/>
        <v>0</v>
      </c>
      <c r="H180" s="12"/>
      <c r="I180" s="42">
        <f t="shared" si="43"/>
        <v>0</v>
      </c>
      <c r="J180" s="7"/>
      <c r="K180" s="42">
        <f t="shared" si="44"/>
        <v>0</v>
      </c>
      <c r="L180" s="61">
        <f t="shared" si="45"/>
        <v>0</v>
      </c>
      <c r="M180" s="42">
        <f t="shared" si="48"/>
        <v>0</v>
      </c>
      <c r="N180" s="7"/>
      <c r="O180" s="42">
        <f t="shared" si="49"/>
        <v>0</v>
      </c>
      <c r="P180" s="136"/>
      <c r="Q180" s="136"/>
      <c r="R180" s="136" t="str">
        <f t="shared" si="50"/>
        <v/>
      </c>
      <c r="S180" s="72"/>
      <c r="T180" s="72"/>
    </row>
    <row r="181" spans="1:20" x14ac:dyDescent="0.2">
      <c r="A181" s="157" t="s">
        <v>246</v>
      </c>
      <c r="B181" s="158"/>
      <c r="C181" s="158"/>
      <c r="D181" s="159"/>
      <c r="E181" s="116"/>
      <c r="F181" s="112">
        <f t="shared" si="46"/>
        <v>0</v>
      </c>
      <c r="G181" s="117">
        <f t="shared" si="47"/>
        <v>0</v>
      </c>
      <c r="H181" s="12"/>
      <c r="I181" s="42">
        <f t="shared" si="43"/>
        <v>0</v>
      </c>
      <c r="J181" s="7"/>
      <c r="K181" s="42">
        <f t="shared" si="44"/>
        <v>0</v>
      </c>
      <c r="L181" s="61">
        <f t="shared" si="45"/>
        <v>0</v>
      </c>
      <c r="M181" s="42">
        <f t="shared" si="48"/>
        <v>0</v>
      </c>
      <c r="N181" s="7"/>
      <c r="O181" s="42">
        <f t="shared" si="49"/>
        <v>0</v>
      </c>
      <c r="P181" s="136"/>
      <c r="Q181" s="136"/>
      <c r="R181" s="136" t="str">
        <f t="shared" si="50"/>
        <v/>
      </c>
      <c r="S181" s="72"/>
      <c r="T181" s="72"/>
    </row>
    <row r="182" spans="1:20" x14ac:dyDescent="0.2">
      <c r="A182" s="157" t="s">
        <v>247</v>
      </c>
      <c r="B182" s="158"/>
      <c r="C182" s="158"/>
      <c r="D182" s="159"/>
      <c r="E182" s="116"/>
      <c r="F182" s="112">
        <f t="shared" si="46"/>
        <v>0</v>
      </c>
      <c r="G182" s="117">
        <f t="shared" si="47"/>
        <v>0</v>
      </c>
      <c r="H182" s="12"/>
      <c r="I182" s="42">
        <f t="shared" si="43"/>
        <v>0</v>
      </c>
      <c r="J182" s="7"/>
      <c r="K182" s="42">
        <f t="shared" si="44"/>
        <v>0</v>
      </c>
      <c r="L182" s="61">
        <f t="shared" si="45"/>
        <v>0</v>
      </c>
      <c r="M182" s="42">
        <f t="shared" si="48"/>
        <v>0</v>
      </c>
      <c r="N182" s="7"/>
      <c r="O182" s="42">
        <f t="shared" si="49"/>
        <v>0</v>
      </c>
      <c r="P182" s="136"/>
      <c r="Q182" s="136"/>
      <c r="R182" s="136" t="str">
        <f t="shared" si="50"/>
        <v/>
      </c>
      <c r="S182" s="72"/>
      <c r="T182" s="72"/>
    </row>
    <row r="183" spans="1:20" x14ac:dyDescent="0.2">
      <c r="A183" s="157" t="s">
        <v>248</v>
      </c>
      <c r="B183" s="158"/>
      <c r="C183" s="158"/>
      <c r="D183" s="159"/>
      <c r="E183" s="118"/>
      <c r="F183" s="119">
        <f t="shared" si="46"/>
        <v>0</v>
      </c>
      <c r="G183" s="120">
        <f t="shared" si="47"/>
        <v>0</v>
      </c>
      <c r="H183" s="12"/>
      <c r="I183" s="42">
        <f t="shared" si="43"/>
        <v>0</v>
      </c>
      <c r="J183" s="7"/>
      <c r="K183" s="42">
        <f t="shared" si="44"/>
        <v>0</v>
      </c>
      <c r="L183" s="61">
        <f t="shared" si="45"/>
        <v>0</v>
      </c>
      <c r="M183" s="42">
        <f t="shared" si="48"/>
        <v>0</v>
      </c>
      <c r="N183" s="7"/>
      <c r="O183" s="42">
        <f t="shared" si="49"/>
        <v>0</v>
      </c>
      <c r="P183" s="136"/>
      <c r="Q183" s="136"/>
      <c r="R183" s="136" t="str">
        <f t="shared" si="50"/>
        <v/>
      </c>
      <c r="S183" s="72"/>
      <c r="T183" s="72"/>
    </row>
    <row r="184" spans="1:20" x14ac:dyDescent="0.2">
      <c r="A184" s="242" t="s">
        <v>232</v>
      </c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4"/>
      <c r="P184" s="56"/>
      <c r="Q184" s="56"/>
      <c r="R184" s="62" t="str">
        <f t="shared" si="50"/>
        <v/>
      </c>
    </row>
    <row r="185" spans="1:20" ht="12.75" customHeight="1" x14ac:dyDescent="0.2">
      <c r="A185" s="157" t="s">
        <v>240</v>
      </c>
      <c r="B185" s="158"/>
      <c r="C185" s="158"/>
      <c r="D185" s="159"/>
      <c r="E185" s="113"/>
      <c r="F185" s="114">
        <f>IF($E$193=0,0,E185/$E$193)</f>
        <v>0</v>
      </c>
      <c r="G185" s="115">
        <f>IF(($E$193-$E$192)=0,0,E185/($E$193-$E$192))</f>
        <v>0</v>
      </c>
      <c r="H185" s="12"/>
      <c r="I185" s="42">
        <f t="shared" ref="I185:I191" si="51">IF($L185=0,0,H185/$L185)</f>
        <v>0</v>
      </c>
      <c r="J185" s="7"/>
      <c r="K185" s="42">
        <f t="shared" ref="K185:K191" si="52">IF($L185=0,0,J185/$L185)</f>
        <v>0</v>
      </c>
      <c r="L185" s="61">
        <f t="shared" ref="L185:L191" si="53">H185+J185</f>
        <v>0</v>
      </c>
      <c r="M185" s="42">
        <f t="shared" ref="M185" si="54">I185+K185</f>
        <v>0</v>
      </c>
      <c r="N185" s="7"/>
      <c r="O185" s="42">
        <f t="shared" si="49"/>
        <v>0</v>
      </c>
      <c r="P185" s="136"/>
      <c r="Q185" s="136"/>
      <c r="R185" s="136" t="str">
        <f t="shared" si="50"/>
        <v/>
      </c>
      <c r="S185" s="136"/>
      <c r="T185" s="72"/>
    </row>
    <row r="186" spans="1:20" ht="12.75" customHeight="1" x14ac:dyDescent="0.2">
      <c r="A186" s="157" t="s">
        <v>250</v>
      </c>
      <c r="B186" s="158"/>
      <c r="C186" s="158"/>
      <c r="D186" s="159"/>
      <c r="E186" s="116"/>
      <c r="F186" s="112">
        <f t="shared" ref="F186:F193" si="55">IF($E$193=0,0,E186/$E$193)</f>
        <v>0</v>
      </c>
      <c r="G186" s="117">
        <f t="shared" ref="G186:G191" si="56">IF(($E$193-$E$192)=0,0,E186/($E$193-$E$192))</f>
        <v>0</v>
      </c>
      <c r="H186" s="12"/>
      <c r="I186" s="42">
        <f t="shared" si="51"/>
        <v>0</v>
      </c>
      <c r="J186" s="7"/>
      <c r="K186" s="42">
        <f t="shared" si="52"/>
        <v>0</v>
      </c>
      <c r="L186" s="61">
        <f t="shared" si="53"/>
        <v>0</v>
      </c>
      <c r="M186" s="42">
        <f t="shared" ref="M186:M191" si="57">I186+K186</f>
        <v>0</v>
      </c>
      <c r="N186" s="7"/>
      <c r="O186" s="42">
        <f t="shared" si="49"/>
        <v>0</v>
      </c>
      <c r="P186" s="136"/>
      <c r="Q186" s="136"/>
      <c r="R186" s="136" t="str">
        <f t="shared" si="50"/>
        <v/>
      </c>
      <c r="S186" s="72"/>
      <c r="T186" s="72"/>
    </row>
    <row r="187" spans="1:20" x14ac:dyDescent="0.2">
      <c r="A187" s="157" t="s">
        <v>249</v>
      </c>
      <c r="B187" s="158"/>
      <c r="C187" s="158"/>
      <c r="D187" s="159"/>
      <c r="E187" s="116"/>
      <c r="F187" s="112">
        <f t="shared" si="55"/>
        <v>0</v>
      </c>
      <c r="G187" s="117">
        <f t="shared" si="56"/>
        <v>0</v>
      </c>
      <c r="H187" s="12"/>
      <c r="I187" s="42">
        <f t="shared" si="51"/>
        <v>0</v>
      </c>
      <c r="J187" s="7"/>
      <c r="K187" s="42">
        <f t="shared" si="52"/>
        <v>0</v>
      </c>
      <c r="L187" s="61">
        <f t="shared" si="53"/>
        <v>0</v>
      </c>
      <c r="M187" s="42">
        <f t="shared" si="57"/>
        <v>0</v>
      </c>
      <c r="N187" s="7"/>
      <c r="O187" s="42">
        <f t="shared" si="49"/>
        <v>0</v>
      </c>
      <c r="P187" s="136"/>
      <c r="Q187" s="136"/>
      <c r="R187" s="136" t="str">
        <f t="shared" si="50"/>
        <v/>
      </c>
      <c r="S187" s="72"/>
      <c r="T187" s="72"/>
    </row>
    <row r="188" spans="1:20" x14ac:dyDescent="0.2">
      <c r="A188" s="157" t="s">
        <v>245</v>
      </c>
      <c r="B188" s="158"/>
      <c r="C188" s="158"/>
      <c r="D188" s="159"/>
      <c r="E188" s="116"/>
      <c r="F188" s="112">
        <f t="shared" si="55"/>
        <v>0</v>
      </c>
      <c r="G188" s="117">
        <f t="shared" si="56"/>
        <v>0</v>
      </c>
      <c r="H188" s="12"/>
      <c r="I188" s="42">
        <f t="shared" si="51"/>
        <v>0</v>
      </c>
      <c r="J188" s="7"/>
      <c r="K188" s="42">
        <f t="shared" si="52"/>
        <v>0</v>
      </c>
      <c r="L188" s="61">
        <f t="shared" si="53"/>
        <v>0</v>
      </c>
      <c r="M188" s="42">
        <f t="shared" si="57"/>
        <v>0</v>
      </c>
      <c r="N188" s="7"/>
      <c r="O188" s="42">
        <f t="shared" si="49"/>
        <v>0</v>
      </c>
      <c r="P188" s="136"/>
      <c r="Q188" s="136"/>
      <c r="R188" s="136" t="str">
        <f t="shared" si="50"/>
        <v/>
      </c>
      <c r="S188" s="72"/>
      <c r="T188" s="72"/>
    </row>
    <row r="189" spans="1:20" x14ac:dyDescent="0.2">
      <c r="A189" s="157" t="s">
        <v>246</v>
      </c>
      <c r="B189" s="158"/>
      <c r="C189" s="158"/>
      <c r="D189" s="159"/>
      <c r="E189" s="116"/>
      <c r="F189" s="112">
        <f t="shared" si="55"/>
        <v>0</v>
      </c>
      <c r="G189" s="117">
        <f t="shared" si="56"/>
        <v>0</v>
      </c>
      <c r="H189" s="12"/>
      <c r="I189" s="42">
        <f t="shared" si="51"/>
        <v>0</v>
      </c>
      <c r="J189" s="7"/>
      <c r="K189" s="42">
        <f t="shared" si="52"/>
        <v>0</v>
      </c>
      <c r="L189" s="61">
        <f t="shared" si="53"/>
        <v>0</v>
      </c>
      <c r="M189" s="42">
        <f t="shared" si="57"/>
        <v>0</v>
      </c>
      <c r="N189" s="7"/>
      <c r="O189" s="42">
        <f t="shared" si="49"/>
        <v>0</v>
      </c>
      <c r="P189" s="136"/>
      <c r="Q189" s="136"/>
      <c r="R189" s="136" t="str">
        <f t="shared" si="50"/>
        <v/>
      </c>
      <c r="S189" s="72"/>
      <c r="T189" s="72"/>
    </row>
    <row r="190" spans="1:20" x14ac:dyDescent="0.2">
      <c r="A190" s="157" t="s">
        <v>247</v>
      </c>
      <c r="B190" s="158"/>
      <c r="C190" s="158"/>
      <c r="D190" s="159"/>
      <c r="E190" s="116"/>
      <c r="F190" s="112">
        <f t="shared" si="55"/>
        <v>0</v>
      </c>
      <c r="G190" s="117">
        <f t="shared" si="56"/>
        <v>0</v>
      </c>
      <c r="H190" s="121"/>
      <c r="I190" s="70">
        <f t="shared" si="51"/>
        <v>0</v>
      </c>
      <c r="J190" s="20"/>
      <c r="K190" s="70">
        <f t="shared" si="52"/>
        <v>0</v>
      </c>
      <c r="L190" s="71">
        <f t="shared" si="53"/>
        <v>0</v>
      </c>
      <c r="M190" s="70">
        <f t="shared" si="57"/>
        <v>0</v>
      </c>
      <c r="N190" s="7"/>
      <c r="O190" s="42">
        <f t="shared" si="49"/>
        <v>0</v>
      </c>
      <c r="P190" s="136"/>
      <c r="Q190" s="136"/>
      <c r="R190" s="136" t="str">
        <f t="shared" si="50"/>
        <v/>
      </c>
      <c r="S190" s="72"/>
      <c r="T190" s="72"/>
    </row>
    <row r="191" spans="1:20" ht="13.5" thickBot="1" x14ac:dyDescent="0.25">
      <c r="A191" s="166" t="s">
        <v>248</v>
      </c>
      <c r="B191" s="167"/>
      <c r="C191" s="167"/>
      <c r="D191" s="168"/>
      <c r="E191" s="116"/>
      <c r="F191" s="112">
        <f t="shared" si="55"/>
        <v>0</v>
      </c>
      <c r="G191" s="117">
        <f t="shared" si="56"/>
        <v>0</v>
      </c>
      <c r="H191" s="13"/>
      <c r="I191" s="47">
        <f t="shared" si="51"/>
        <v>0</v>
      </c>
      <c r="J191" s="8"/>
      <c r="K191" s="47">
        <f t="shared" si="52"/>
        <v>0</v>
      </c>
      <c r="L191" s="125">
        <f t="shared" si="53"/>
        <v>0</v>
      </c>
      <c r="M191" s="47">
        <f t="shared" si="57"/>
        <v>0</v>
      </c>
      <c r="N191" s="8"/>
      <c r="O191" s="47">
        <f t="shared" si="49"/>
        <v>0</v>
      </c>
      <c r="P191" s="136"/>
      <c r="Q191" s="136"/>
      <c r="R191" s="136" t="str">
        <f t="shared" si="50"/>
        <v/>
      </c>
      <c r="S191" s="72"/>
      <c r="T191" s="72"/>
    </row>
    <row r="192" spans="1:20" ht="14.25" customHeight="1" thickTop="1" thickBot="1" x14ac:dyDescent="0.25">
      <c r="A192" s="194" t="s">
        <v>237</v>
      </c>
      <c r="B192" s="195"/>
      <c r="C192" s="195"/>
      <c r="D192" s="196"/>
      <c r="E192" s="116"/>
      <c r="F192" s="112">
        <f t="shared" si="55"/>
        <v>0</v>
      </c>
      <c r="G192" s="117"/>
      <c r="H192" s="64"/>
      <c r="I192" s="64"/>
      <c r="J192" s="65"/>
      <c r="K192" s="382" t="s">
        <v>399</v>
      </c>
      <c r="L192" s="374"/>
      <c r="M192" s="375"/>
      <c r="N192" s="10"/>
      <c r="O192" s="78">
        <f t="shared" si="49"/>
        <v>0</v>
      </c>
      <c r="P192" s="136"/>
      <c r="Q192" s="72"/>
      <c r="R192" s="136"/>
      <c r="S192" s="72"/>
      <c r="T192" s="72"/>
    </row>
    <row r="193" spans="1:20" ht="14.25" thickTop="1" thickBot="1" x14ac:dyDescent="0.25">
      <c r="A193" s="227" t="s">
        <v>16</v>
      </c>
      <c r="B193" s="228"/>
      <c r="C193" s="228"/>
      <c r="D193" s="229"/>
      <c r="E193" s="122">
        <f>K41</f>
        <v>0</v>
      </c>
      <c r="F193" s="123">
        <f t="shared" si="55"/>
        <v>0</v>
      </c>
      <c r="G193" s="126">
        <f>F193</f>
        <v>0</v>
      </c>
      <c r="H193" s="124"/>
      <c r="I193" s="67"/>
      <c r="J193" s="68"/>
      <c r="K193" s="291" t="s">
        <v>428</v>
      </c>
      <c r="L193" s="374"/>
      <c r="M193" s="375"/>
      <c r="N193" s="10"/>
      <c r="O193" s="54"/>
      <c r="P193" s="69"/>
      <c r="Q193" s="30"/>
      <c r="R193" s="30"/>
      <c r="S193" s="69"/>
    </row>
    <row r="194" spans="1:20" ht="13.5" thickTop="1" x14ac:dyDescent="0.2">
      <c r="A194" s="31" t="s">
        <v>239</v>
      </c>
      <c r="H194" s="31" t="s">
        <v>345</v>
      </c>
      <c r="K194" s="31"/>
      <c r="L194" s="56"/>
      <c r="P194" s="57"/>
      <c r="Q194" s="57"/>
      <c r="R194" s="57">
        <f>SUM(R176:R191)</f>
        <v>0</v>
      </c>
      <c r="S194" s="57"/>
    </row>
    <row r="195" spans="1:20" x14ac:dyDescent="0.2">
      <c r="A195" s="56"/>
      <c r="E195" s="56"/>
      <c r="K195" s="56" t="str">
        <f>IF(R205&gt;0,"Hauptspielform Anzahl darf nicht höher als Gesamtanzahl der Spieltage sein","")</f>
        <v/>
      </c>
      <c r="P195" s="56"/>
      <c r="Q195" s="72"/>
      <c r="R195" s="56"/>
    </row>
    <row r="196" spans="1:20" ht="27" customHeight="1" x14ac:dyDescent="0.2">
      <c r="A196" s="185" t="s">
        <v>254</v>
      </c>
      <c r="B196" s="186"/>
      <c r="C196" s="186"/>
      <c r="D196" s="187"/>
      <c r="E196" s="396"/>
      <c r="F196" s="397"/>
      <c r="G196" s="398"/>
      <c r="H196" s="224" t="s">
        <v>367</v>
      </c>
      <c r="I196" s="225"/>
      <c r="J196" s="225"/>
      <c r="K196" s="225"/>
      <c r="L196" s="225"/>
      <c r="M196" s="223"/>
      <c r="N196" s="215" t="s">
        <v>403</v>
      </c>
      <c r="O196" s="216"/>
      <c r="P196" s="56"/>
      <c r="Q196" s="72"/>
      <c r="R196" s="56"/>
    </row>
    <row r="197" spans="1:20" x14ac:dyDescent="0.2">
      <c r="A197" s="188"/>
      <c r="B197" s="189"/>
      <c r="C197" s="189"/>
      <c r="D197" s="190"/>
      <c r="E197" s="240"/>
      <c r="F197" s="249"/>
      <c r="G197" s="230"/>
      <c r="H197" s="222" t="s">
        <v>363</v>
      </c>
      <c r="I197" s="226"/>
      <c r="J197" s="222" t="s">
        <v>364</v>
      </c>
      <c r="K197" s="252"/>
      <c r="L197" s="222" t="s">
        <v>16</v>
      </c>
      <c r="M197" s="223"/>
      <c r="N197" s="217" t="s">
        <v>15</v>
      </c>
      <c r="O197" s="217" t="s">
        <v>197</v>
      </c>
    </row>
    <row r="198" spans="1:20" x14ac:dyDescent="0.2">
      <c r="A198" s="191"/>
      <c r="B198" s="192"/>
      <c r="C198" s="192"/>
      <c r="D198" s="193"/>
      <c r="E198" s="241"/>
      <c r="F198" s="383"/>
      <c r="G198" s="231"/>
      <c r="H198" s="59" t="s">
        <v>15</v>
      </c>
      <c r="I198" s="59" t="s">
        <v>197</v>
      </c>
      <c r="J198" s="59" t="s">
        <v>15</v>
      </c>
      <c r="K198" s="59" t="s">
        <v>197</v>
      </c>
      <c r="L198" s="60" t="s">
        <v>15</v>
      </c>
      <c r="M198" s="59" t="s">
        <v>197</v>
      </c>
      <c r="N198" s="218"/>
      <c r="O198" s="218" t="s">
        <v>17</v>
      </c>
    </row>
    <row r="199" spans="1:20" x14ac:dyDescent="0.2">
      <c r="A199" s="157" t="s">
        <v>233</v>
      </c>
      <c r="B199" s="158"/>
      <c r="C199" s="158"/>
      <c r="D199" s="159"/>
      <c r="E199" s="113"/>
      <c r="F199" s="114"/>
      <c r="G199" s="115"/>
      <c r="H199" s="12"/>
      <c r="I199" s="42">
        <f>IF($L199=0,0,H199/$L199)</f>
        <v>0</v>
      </c>
      <c r="J199" s="7"/>
      <c r="K199" s="42">
        <f>IF($L199=0,0,J199/$L199)</f>
        <v>0</v>
      </c>
      <c r="L199" s="61">
        <f>H199+J199</f>
        <v>0</v>
      </c>
      <c r="M199" s="42">
        <f t="shared" ref="M199" si="58">I199+K199</f>
        <v>0</v>
      </c>
      <c r="N199" s="7"/>
      <c r="O199" s="42">
        <f>IF(SUM(N$199:N$203)=0,0,N199/(SUM(N$199:N$203)))</f>
        <v>0</v>
      </c>
      <c r="P199" s="136"/>
      <c r="Q199" s="136"/>
      <c r="R199" s="136" t="str">
        <f>IF(N199&gt;H199+J199,1,"")</f>
        <v/>
      </c>
      <c r="S199" s="72"/>
      <c r="T199" s="72"/>
    </row>
    <row r="200" spans="1:20" x14ac:dyDescent="0.2">
      <c r="A200" s="157" t="s">
        <v>234</v>
      </c>
      <c r="B200" s="158"/>
      <c r="C200" s="158"/>
      <c r="D200" s="159"/>
      <c r="E200" s="116"/>
      <c r="F200" s="112"/>
      <c r="G200" s="117"/>
      <c r="H200" s="12"/>
      <c r="I200" s="42">
        <f>IF($L200=0,0,H200/$L200)</f>
        <v>0</v>
      </c>
      <c r="J200" s="7"/>
      <c r="K200" s="42">
        <f>IF($L200=0,0,J200/$L200)</f>
        <v>0</v>
      </c>
      <c r="L200" s="61">
        <f t="shared" ref="L200:L202" si="59">H200+J200</f>
        <v>0</v>
      </c>
      <c r="M200" s="42">
        <f t="shared" ref="M200:M202" si="60">I200+K200</f>
        <v>0</v>
      </c>
      <c r="N200" s="137"/>
      <c r="O200" s="42">
        <f t="shared" ref="O200:O203" si="61">IF(SUM(N$199:N$203)=0,0,N200/(SUM(N$199:N$203)))</f>
        <v>0</v>
      </c>
      <c r="P200" s="136"/>
      <c r="Q200" s="136"/>
      <c r="R200" s="136" t="str">
        <f t="shared" ref="R200:R202" si="62">IF(N200&gt;H200+J200,1,"")</f>
        <v/>
      </c>
      <c r="S200" s="72"/>
      <c r="T200" s="72"/>
    </row>
    <row r="201" spans="1:20" x14ac:dyDescent="0.2">
      <c r="A201" s="157" t="s">
        <v>235</v>
      </c>
      <c r="B201" s="158"/>
      <c r="C201" s="158"/>
      <c r="D201" s="159"/>
      <c r="E201" s="116"/>
      <c r="F201" s="112"/>
      <c r="G201" s="117"/>
      <c r="H201" s="12"/>
      <c r="I201" s="42">
        <f>IF($L201=0,0,H201/$L201)</f>
        <v>0</v>
      </c>
      <c r="J201" s="7"/>
      <c r="K201" s="42">
        <f>IF($L201=0,0,J201/$L201)</f>
        <v>0</v>
      </c>
      <c r="L201" s="61">
        <f t="shared" si="59"/>
        <v>0</v>
      </c>
      <c r="M201" s="42">
        <f t="shared" si="60"/>
        <v>0</v>
      </c>
      <c r="N201" s="7"/>
      <c r="O201" s="42">
        <f t="shared" si="61"/>
        <v>0</v>
      </c>
      <c r="P201" s="136"/>
      <c r="Q201" s="136"/>
      <c r="R201" s="136" t="str">
        <f t="shared" si="62"/>
        <v/>
      </c>
      <c r="S201" s="72"/>
      <c r="T201" s="72"/>
    </row>
    <row r="202" spans="1:20" ht="13.5" thickBot="1" x14ac:dyDescent="0.25">
      <c r="A202" s="166" t="s">
        <v>236</v>
      </c>
      <c r="B202" s="167"/>
      <c r="C202" s="167"/>
      <c r="D202" s="168"/>
      <c r="E202" s="116"/>
      <c r="F202" s="112"/>
      <c r="G202" s="117"/>
      <c r="H202" s="8"/>
      <c r="I202" s="47">
        <f>IF($L202=0,0,H202/$L202)</f>
        <v>0</v>
      </c>
      <c r="J202" s="8"/>
      <c r="K202" s="47">
        <f>IF($L202=0,0,J202/$L202)</f>
        <v>0</v>
      </c>
      <c r="L202" s="125">
        <f t="shared" si="59"/>
        <v>0</v>
      </c>
      <c r="M202" s="47">
        <f t="shared" si="60"/>
        <v>0</v>
      </c>
      <c r="N202" s="8"/>
      <c r="O202" s="47">
        <f t="shared" si="61"/>
        <v>0</v>
      </c>
      <c r="P202" s="136"/>
      <c r="Q202" s="136"/>
      <c r="R202" s="136" t="str">
        <f t="shared" si="62"/>
        <v/>
      </c>
      <c r="S202" s="72"/>
      <c r="T202" s="72"/>
    </row>
    <row r="203" spans="1:20" ht="14.25" customHeight="1" thickTop="1" thickBot="1" x14ac:dyDescent="0.25">
      <c r="A203" s="194" t="s">
        <v>402</v>
      </c>
      <c r="B203" s="195"/>
      <c r="C203" s="195"/>
      <c r="D203" s="196"/>
      <c r="E203" s="116"/>
      <c r="F203" s="112"/>
      <c r="G203" s="117"/>
      <c r="H203" s="64"/>
      <c r="I203" s="64"/>
      <c r="J203" s="65"/>
      <c r="K203" s="291" t="s">
        <v>401</v>
      </c>
      <c r="L203" s="374"/>
      <c r="M203" s="375"/>
      <c r="N203" s="10"/>
      <c r="O203" s="78">
        <f t="shared" si="61"/>
        <v>0</v>
      </c>
      <c r="P203" s="136"/>
      <c r="Q203" s="72"/>
      <c r="R203" s="136"/>
      <c r="S203" s="72"/>
      <c r="T203" s="72"/>
    </row>
    <row r="204" spans="1:20" ht="14.25" thickTop="1" thickBot="1" x14ac:dyDescent="0.25">
      <c r="A204" s="227" t="s">
        <v>16</v>
      </c>
      <c r="B204" s="228"/>
      <c r="C204" s="228"/>
      <c r="D204" s="229"/>
      <c r="E204" s="122"/>
      <c r="F204" s="123"/>
      <c r="G204" s="126"/>
      <c r="H204" s="124"/>
      <c r="I204" s="67"/>
      <c r="J204" s="68"/>
      <c r="K204" s="376" t="s">
        <v>429</v>
      </c>
      <c r="L204" s="377"/>
      <c r="M204" s="378"/>
      <c r="N204" s="11"/>
      <c r="O204" s="78"/>
      <c r="P204" s="136"/>
      <c r="Q204" s="72"/>
      <c r="R204" s="136"/>
      <c r="S204" s="72"/>
      <c r="T204" s="72"/>
    </row>
    <row r="205" spans="1:20" ht="13.5" thickTop="1" x14ac:dyDescent="0.2">
      <c r="A205" s="31" t="s">
        <v>239</v>
      </c>
      <c r="H205" s="31" t="s">
        <v>346</v>
      </c>
      <c r="K205" s="31"/>
      <c r="L205" s="56"/>
      <c r="P205" s="56"/>
      <c r="Q205" s="72"/>
      <c r="R205" s="57">
        <f>SUM(R199:R202)</f>
        <v>0</v>
      </c>
    </row>
    <row r="208" spans="1:20" x14ac:dyDescent="0.2">
      <c r="A208" s="24" t="s">
        <v>347</v>
      </c>
      <c r="D208" s="53"/>
    </row>
    <row r="209" spans="1:17" x14ac:dyDescent="0.2">
      <c r="A209" s="37" t="str">
        <f>IF(N215+O218+O219+O220=O221,"","Einträge zu den Hauptdiagnosen in den grünen Eingabefeldern entsprechen nicht der Gesamtfallzahl dieser Tabelle  unter O 219")</f>
        <v/>
      </c>
      <c r="D209" s="53"/>
    </row>
    <row r="210" spans="1:17" ht="12.75" customHeight="1" x14ac:dyDescent="0.2">
      <c r="A210" s="160" t="s">
        <v>256</v>
      </c>
      <c r="B210" s="161"/>
      <c r="C210" s="161"/>
      <c r="D210" s="162"/>
      <c r="E210" s="41" t="s">
        <v>15</v>
      </c>
      <c r="F210" s="41" t="s">
        <v>17</v>
      </c>
      <c r="G210" s="41" t="s">
        <v>410</v>
      </c>
      <c r="I210" s="172" t="s">
        <v>257</v>
      </c>
      <c r="J210" s="173"/>
      <c r="K210" s="173"/>
      <c r="L210" s="173"/>
      <c r="M210" s="174"/>
      <c r="N210" s="40" t="s">
        <v>15</v>
      </c>
      <c r="O210" s="40" t="s">
        <v>17</v>
      </c>
      <c r="P210" s="40" t="s">
        <v>410</v>
      </c>
      <c r="Q210" s="53"/>
    </row>
    <row r="211" spans="1:17" x14ac:dyDescent="0.2">
      <c r="A211" s="145" t="s">
        <v>51</v>
      </c>
      <c r="B211" s="146"/>
      <c r="C211" s="146"/>
      <c r="D211" s="147"/>
      <c r="E211" s="7"/>
      <c r="F211" s="42">
        <f t="shared" ref="F211:F221" si="63">IF($O$221=0,0,E211/$O$221)</f>
        <v>0</v>
      </c>
      <c r="G211" s="42">
        <f t="shared" ref="G211:G221" si="64">IF(N$215=0,0,E211/N$215)</f>
        <v>0</v>
      </c>
      <c r="I211" s="304" t="s">
        <v>198</v>
      </c>
      <c r="J211" s="305"/>
      <c r="K211" s="305"/>
      <c r="L211" s="305"/>
      <c r="M211" s="308"/>
      <c r="N211" s="6"/>
      <c r="O211" s="42">
        <f>IF($O$221=0,0,N211/$O$221)</f>
        <v>0</v>
      </c>
      <c r="P211" s="42">
        <f>IF(N$215=0,0,N211/N$215)</f>
        <v>0</v>
      </c>
    </row>
    <row r="212" spans="1:17" x14ac:dyDescent="0.2">
      <c r="A212" s="145" t="s">
        <v>52</v>
      </c>
      <c r="B212" s="146"/>
      <c r="C212" s="146"/>
      <c r="D212" s="147"/>
      <c r="E212" s="9"/>
      <c r="F212" s="42">
        <f t="shared" si="63"/>
        <v>0</v>
      </c>
      <c r="G212" s="42">
        <f t="shared" si="64"/>
        <v>0</v>
      </c>
      <c r="I212" s="304" t="s">
        <v>201</v>
      </c>
      <c r="J212" s="305"/>
      <c r="K212" s="305"/>
      <c r="L212" s="305"/>
      <c r="M212" s="308"/>
      <c r="N212" s="6"/>
      <c r="O212" s="42">
        <f>IF($O$221=0,0,N212/$O$221)</f>
        <v>0</v>
      </c>
      <c r="P212" s="42">
        <f>IF(N$215=0,0,N212/N$215)</f>
        <v>0</v>
      </c>
    </row>
    <row r="213" spans="1:17" x14ac:dyDescent="0.2">
      <c r="A213" s="145" t="s">
        <v>53</v>
      </c>
      <c r="B213" s="146"/>
      <c r="C213" s="146"/>
      <c r="D213" s="147"/>
      <c r="E213" s="9"/>
      <c r="F213" s="42">
        <f t="shared" si="63"/>
        <v>0</v>
      </c>
      <c r="G213" s="42">
        <f t="shared" si="64"/>
        <v>0</v>
      </c>
      <c r="I213" s="304" t="s">
        <v>199</v>
      </c>
      <c r="J213" s="305"/>
      <c r="K213" s="305"/>
      <c r="L213" s="305"/>
      <c r="M213" s="308"/>
      <c r="N213" s="6"/>
      <c r="O213" s="42">
        <f>IF($O$221=0,0,N213/$O$221)</f>
        <v>0</v>
      </c>
      <c r="P213" s="42">
        <f>IF(N$215=0,0,N213/N$215)</f>
        <v>0</v>
      </c>
    </row>
    <row r="214" spans="1:17" ht="12.75" customHeight="1" x14ac:dyDescent="0.2">
      <c r="A214" s="145" t="s">
        <v>54</v>
      </c>
      <c r="B214" s="146"/>
      <c r="C214" s="146"/>
      <c r="D214" s="147"/>
      <c r="E214" s="9"/>
      <c r="F214" s="42">
        <f t="shared" si="63"/>
        <v>0</v>
      </c>
      <c r="G214" s="42">
        <f t="shared" si="64"/>
        <v>0</v>
      </c>
      <c r="I214" s="304" t="s">
        <v>200</v>
      </c>
      <c r="J214" s="305"/>
      <c r="K214" s="305"/>
      <c r="L214" s="305"/>
      <c r="M214" s="308"/>
      <c r="N214" s="6"/>
      <c r="O214" s="42">
        <f>IF($O$221=0,0,N214/$O$221)</f>
        <v>0</v>
      </c>
      <c r="P214" s="42">
        <f>IF(N$215=0,0,N214/N$215)</f>
        <v>0</v>
      </c>
    </row>
    <row r="215" spans="1:17" x14ac:dyDescent="0.2">
      <c r="A215" s="145" t="s">
        <v>55</v>
      </c>
      <c r="B215" s="146"/>
      <c r="C215" s="146"/>
      <c r="D215" s="147"/>
      <c r="E215" s="9"/>
      <c r="F215" s="42">
        <f t="shared" si="63"/>
        <v>0</v>
      </c>
      <c r="G215" s="42">
        <f t="shared" si="64"/>
        <v>0</v>
      </c>
      <c r="I215" s="172" t="s">
        <v>125</v>
      </c>
      <c r="J215" s="173"/>
      <c r="K215" s="173"/>
      <c r="L215" s="173"/>
      <c r="M215" s="174"/>
      <c r="N215" s="55">
        <f>SUM(N211:N214)+E221</f>
        <v>0</v>
      </c>
      <c r="O215" s="43">
        <f>IF($O$221=0,0,N215/$O$221)</f>
        <v>0</v>
      </c>
      <c r="P215" s="43">
        <f>IF(N$215=0,0,N215/N$215)</f>
        <v>0</v>
      </c>
    </row>
    <row r="216" spans="1:17" ht="12.75" customHeight="1" x14ac:dyDescent="0.2">
      <c r="A216" s="145" t="s">
        <v>58</v>
      </c>
      <c r="B216" s="146"/>
      <c r="C216" s="146"/>
      <c r="D216" s="147"/>
      <c r="E216" s="9"/>
      <c r="F216" s="42">
        <f t="shared" si="63"/>
        <v>0</v>
      </c>
      <c r="G216" s="42">
        <f t="shared" si="64"/>
        <v>0</v>
      </c>
      <c r="I216" s="73" t="s">
        <v>413</v>
      </c>
      <c r="J216" s="73"/>
      <c r="K216" s="73"/>
      <c r="L216" s="73"/>
      <c r="M216" s="73"/>
      <c r="N216" s="27"/>
      <c r="O216" s="74"/>
      <c r="P216" s="74"/>
    </row>
    <row r="217" spans="1:17" x14ac:dyDescent="0.2">
      <c r="A217" s="145" t="s">
        <v>56</v>
      </c>
      <c r="B217" s="146"/>
      <c r="C217" s="146"/>
      <c r="D217" s="147"/>
      <c r="E217" s="9"/>
      <c r="F217" s="42">
        <f t="shared" si="63"/>
        <v>0</v>
      </c>
      <c r="G217" s="42">
        <f t="shared" si="64"/>
        <v>0</v>
      </c>
      <c r="I217" s="172" t="s">
        <v>204</v>
      </c>
      <c r="J217" s="173"/>
      <c r="K217" s="173"/>
      <c r="L217" s="173"/>
      <c r="M217" s="173"/>
      <c r="N217" s="306"/>
      <c r="O217" s="40" t="s">
        <v>15</v>
      </c>
      <c r="P217" s="40" t="s">
        <v>411</v>
      </c>
    </row>
    <row r="218" spans="1:17" x14ac:dyDescent="0.2">
      <c r="A218" s="145" t="s">
        <v>57</v>
      </c>
      <c r="B218" s="146"/>
      <c r="C218" s="146"/>
      <c r="D218" s="147"/>
      <c r="E218" s="9"/>
      <c r="F218" s="42">
        <f t="shared" si="63"/>
        <v>0</v>
      </c>
      <c r="G218" s="42">
        <f t="shared" si="64"/>
        <v>0</v>
      </c>
      <c r="I218" s="304" t="s">
        <v>202</v>
      </c>
      <c r="J218" s="305"/>
      <c r="K218" s="305"/>
      <c r="L218" s="305"/>
      <c r="M218" s="305"/>
      <c r="N218" s="306"/>
      <c r="O218" s="7"/>
      <c r="P218" s="42">
        <f>IF(O$221=0,0,O218/O$221)</f>
        <v>0</v>
      </c>
    </row>
    <row r="219" spans="1:17" ht="12.75" customHeight="1" x14ac:dyDescent="0.2">
      <c r="A219" s="145" t="s">
        <v>59</v>
      </c>
      <c r="B219" s="146"/>
      <c r="C219" s="146"/>
      <c r="D219" s="147"/>
      <c r="E219" s="9"/>
      <c r="F219" s="42">
        <f t="shared" si="63"/>
        <v>0</v>
      </c>
      <c r="G219" s="42">
        <f t="shared" si="64"/>
        <v>0</v>
      </c>
      <c r="I219" s="304" t="s">
        <v>203</v>
      </c>
      <c r="J219" s="305"/>
      <c r="K219" s="305"/>
      <c r="L219" s="305"/>
      <c r="M219" s="305"/>
      <c r="N219" s="306"/>
      <c r="O219" s="7"/>
      <c r="P219" s="42">
        <f>IF(O$221=0,0,O219/O$221)</f>
        <v>0</v>
      </c>
    </row>
    <row r="220" spans="1:17" ht="12.75" customHeight="1" x14ac:dyDescent="0.2">
      <c r="A220" s="145" t="s">
        <v>255</v>
      </c>
      <c r="B220" s="146"/>
      <c r="C220" s="146"/>
      <c r="D220" s="147"/>
      <c r="E220" s="9"/>
      <c r="F220" s="42">
        <f t="shared" si="63"/>
        <v>0</v>
      </c>
      <c r="G220" s="42">
        <f t="shared" si="64"/>
        <v>0</v>
      </c>
      <c r="I220" s="304" t="s">
        <v>205</v>
      </c>
      <c r="J220" s="305"/>
      <c r="K220" s="305"/>
      <c r="L220" s="305"/>
      <c r="M220" s="305"/>
      <c r="N220" s="306"/>
      <c r="O220" s="7"/>
      <c r="P220" s="42">
        <f>IF(O$221=0,0,O220/O$221)</f>
        <v>0</v>
      </c>
    </row>
    <row r="221" spans="1:17" ht="12.75" customHeight="1" x14ac:dyDescent="0.2">
      <c r="A221" s="169" t="s">
        <v>131</v>
      </c>
      <c r="B221" s="170"/>
      <c r="C221" s="170"/>
      <c r="D221" s="171"/>
      <c r="E221" s="51">
        <f>SUM(E211:E220)</f>
        <v>0</v>
      </c>
      <c r="F221" s="43">
        <f t="shared" si="63"/>
        <v>0</v>
      </c>
      <c r="G221" s="43">
        <f t="shared" si="64"/>
        <v>0</v>
      </c>
      <c r="I221" s="172" t="s">
        <v>16</v>
      </c>
      <c r="J221" s="173"/>
      <c r="K221" s="173"/>
      <c r="L221" s="173"/>
      <c r="M221" s="173"/>
      <c r="N221" s="307"/>
      <c r="O221" s="55">
        <f>K41</f>
        <v>0</v>
      </c>
      <c r="P221" s="43">
        <f>IF(O$221=0,0,O221/O$221)</f>
        <v>0</v>
      </c>
    </row>
    <row r="222" spans="1:17" x14ac:dyDescent="0.2">
      <c r="A222" s="73" t="s">
        <v>413</v>
      </c>
      <c r="G222" s="53"/>
      <c r="I222" s="73" t="s">
        <v>412</v>
      </c>
    </row>
    <row r="223" spans="1:17" x14ac:dyDescent="0.2">
      <c r="A223" s="37" t="str">
        <f>IF(H240=0,"","Einträge in E223 - E237 dürfen nicht höher als die Gesamtfallzahl dieser Tabelle sein")</f>
        <v/>
      </c>
      <c r="E223" s="37"/>
      <c r="G223" s="53"/>
      <c r="I223" s="37" t="str">
        <f>IF(P235=0,"","Einträge in N223 - N232 dürfen nicht höher als die Gesamtfallzahl dieser Tabelle  sein")</f>
        <v/>
      </c>
      <c r="N223" s="37"/>
      <c r="O223" s="27"/>
      <c r="P223" s="75"/>
    </row>
    <row r="224" spans="1:17" ht="12.75" customHeight="1" x14ac:dyDescent="0.2">
      <c r="A224" s="160" t="s">
        <v>258</v>
      </c>
      <c r="B224" s="161"/>
      <c r="C224" s="161"/>
      <c r="D224" s="162"/>
      <c r="E224" s="41" t="s">
        <v>15</v>
      </c>
      <c r="F224" s="41" t="s">
        <v>17</v>
      </c>
      <c r="G224" s="76"/>
      <c r="H224" s="76"/>
      <c r="I224" s="286" t="s">
        <v>126</v>
      </c>
      <c r="J224" s="286"/>
      <c r="K224" s="286"/>
      <c r="L224" s="286"/>
      <c r="M224" s="286"/>
      <c r="N224" s="41" t="s">
        <v>15</v>
      </c>
      <c r="O224" s="41" t="s">
        <v>17</v>
      </c>
      <c r="Q224" s="53"/>
    </row>
    <row r="225" spans="1:16" x14ac:dyDescent="0.2">
      <c r="A225" s="145" t="s">
        <v>51</v>
      </c>
      <c r="B225" s="146"/>
      <c r="C225" s="146"/>
      <c r="D225" s="147"/>
      <c r="E225" s="7"/>
      <c r="F225" s="42">
        <f t="shared" ref="F225:F234" si="65">IF($N$235=0,0,E225/$K$41)</f>
        <v>0</v>
      </c>
      <c r="G225" s="77" t="str">
        <f>IF(E225&lt;E211,1,"")</f>
        <v/>
      </c>
      <c r="H225" s="129" t="str">
        <f>IF(E225&gt;E$240,1,"")</f>
        <v/>
      </c>
      <c r="I225" s="272" t="s">
        <v>148</v>
      </c>
      <c r="J225" s="272"/>
      <c r="K225" s="272"/>
      <c r="L225" s="272"/>
      <c r="M225" s="272"/>
      <c r="N225" s="7"/>
      <c r="O225" s="42">
        <f t="shared" ref="O225:O235" si="66">IF($N$235=0,0,N225/$N$235)</f>
        <v>0</v>
      </c>
      <c r="P225" s="79" t="str">
        <f>IF(N225&gt;N$235-N$234,1,"")</f>
        <v/>
      </c>
    </row>
    <row r="226" spans="1:16" x14ac:dyDescent="0.2">
      <c r="A226" s="145" t="s">
        <v>52</v>
      </c>
      <c r="B226" s="146"/>
      <c r="C226" s="146"/>
      <c r="D226" s="147"/>
      <c r="E226" s="7"/>
      <c r="F226" s="42">
        <f t="shared" si="65"/>
        <v>0</v>
      </c>
      <c r="G226" s="77" t="str">
        <f t="shared" ref="G226:G234" si="67">IF(E226&lt;E212,1,"")</f>
        <v/>
      </c>
      <c r="H226" s="129" t="str">
        <f t="shared" ref="H226:H239" si="68">IF(E226&gt;E$240,1,"")</f>
        <v/>
      </c>
      <c r="I226" s="272" t="s">
        <v>149</v>
      </c>
      <c r="J226" s="272"/>
      <c r="K226" s="272"/>
      <c r="L226" s="272"/>
      <c r="M226" s="272"/>
      <c r="N226" s="7"/>
      <c r="O226" s="42">
        <f t="shared" si="66"/>
        <v>0</v>
      </c>
      <c r="P226" s="79" t="str">
        <f t="shared" ref="P226:P233" si="69">IF(N226&gt;N$235-N$234,1,"")</f>
        <v/>
      </c>
    </row>
    <row r="227" spans="1:16" x14ac:dyDescent="0.2">
      <c r="A227" s="145" t="s">
        <v>53</v>
      </c>
      <c r="B227" s="146"/>
      <c r="C227" s="146"/>
      <c r="D227" s="147"/>
      <c r="E227" s="7"/>
      <c r="F227" s="42">
        <f t="shared" si="65"/>
        <v>0</v>
      </c>
      <c r="G227" s="77" t="str">
        <f t="shared" si="67"/>
        <v/>
      </c>
      <c r="H227" s="129" t="str">
        <f t="shared" si="68"/>
        <v/>
      </c>
      <c r="I227" s="272" t="s">
        <v>150</v>
      </c>
      <c r="J227" s="272"/>
      <c r="K227" s="272"/>
      <c r="L227" s="272"/>
      <c r="M227" s="272"/>
      <c r="N227" s="7"/>
      <c r="O227" s="42">
        <f t="shared" si="66"/>
        <v>0</v>
      </c>
      <c r="P227" s="79" t="str">
        <f t="shared" si="69"/>
        <v/>
      </c>
    </row>
    <row r="228" spans="1:16" ht="12.75" customHeight="1" x14ac:dyDescent="0.2">
      <c r="A228" s="145" t="s">
        <v>54</v>
      </c>
      <c r="B228" s="146"/>
      <c r="C228" s="146"/>
      <c r="D228" s="147"/>
      <c r="E228" s="7"/>
      <c r="F228" s="42">
        <f t="shared" si="65"/>
        <v>0</v>
      </c>
      <c r="G228" s="77" t="str">
        <f t="shared" si="67"/>
        <v/>
      </c>
      <c r="H228" s="129" t="str">
        <f t="shared" si="68"/>
        <v/>
      </c>
      <c r="I228" s="303" t="s">
        <v>151</v>
      </c>
      <c r="J228" s="272"/>
      <c r="K228" s="272"/>
      <c r="L228" s="272"/>
      <c r="M228" s="272"/>
      <c r="N228" s="7"/>
      <c r="O228" s="42">
        <f t="shared" si="66"/>
        <v>0</v>
      </c>
      <c r="P228" s="79" t="str">
        <f t="shared" si="69"/>
        <v/>
      </c>
    </row>
    <row r="229" spans="1:16" x14ac:dyDescent="0.2">
      <c r="A229" s="145" t="s">
        <v>55</v>
      </c>
      <c r="B229" s="146"/>
      <c r="C229" s="146"/>
      <c r="D229" s="147"/>
      <c r="E229" s="7"/>
      <c r="F229" s="42">
        <f t="shared" si="65"/>
        <v>0</v>
      </c>
      <c r="G229" s="77" t="str">
        <f t="shared" si="67"/>
        <v/>
      </c>
      <c r="H229" s="129" t="str">
        <f t="shared" si="68"/>
        <v/>
      </c>
      <c r="I229" s="272" t="s">
        <v>152</v>
      </c>
      <c r="J229" s="272"/>
      <c r="K229" s="272"/>
      <c r="L229" s="272"/>
      <c r="M229" s="272"/>
      <c r="N229" s="7"/>
      <c r="O229" s="42">
        <f t="shared" si="66"/>
        <v>0</v>
      </c>
      <c r="P229" s="79" t="str">
        <f t="shared" si="69"/>
        <v/>
      </c>
    </row>
    <row r="230" spans="1:16" ht="12.75" customHeight="1" x14ac:dyDescent="0.2">
      <c r="A230" s="145" t="s">
        <v>58</v>
      </c>
      <c r="B230" s="146"/>
      <c r="C230" s="146"/>
      <c r="D230" s="147"/>
      <c r="E230" s="7"/>
      <c r="F230" s="42">
        <f t="shared" si="65"/>
        <v>0</v>
      </c>
      <c r="G230" s="77" t="str">
        <f t="shared" si="67"/>
        <v/>
      </c>
      <c r="H230" s="129" t="str">
        <f t="shared" si="68"/>
        <v/>
      </c>
      <c r="I230" s="272" t="s">
        <v>153</v>
      </c>
      <c r="J230" s="272"/>
      <c r="K230" s="272"/>
      <c r="L230" s="272"/>
      <c r="M230" s="272"/>
      <c r="N230" s="7"/>
      <c r="O230" s="42">
        <f t="shared" si="66"/>
        <v>0</v>
      </c>
      <c r="P230" s="79" t="str">
        <f t="shared" si="69"/>
        <v/>
      </c>
    </row>
    <row r="231" spans="1:16" ht="13.5" thickBot="1" x14ac:dyDescent="0.25">
      <c r="A231" s="145" t="s">
        <v>56</v>
      </c>
      <c r="B231" s="146"/>
      <c r="C231" s="146"/>
      <c r="D231" s="147"/>
      <c r="E231" s="7"/>
      <c r="F231" s="42">
        <f t="shared" si="65"/>
        <v>0</v>
      </c>
      <c r="G231" s="77" t="str">
        <f t="shared" si="67"/>
        <v/>
      </c>
      <c r="H231" s="129" t="str">
        <f t="shared" si="68"/>
        <v/>
      </c>
      <c r="I231" s="309" t="s">
        <v>415</v>
      </c>
      <c r="J231" s="309"/>
      <c r="K231" s="309"/>
      <c r="L231" s="309"/>
      <c r="M231" s="309"/>
      <c r="N231" s="8"/>
      <c r="O231" s="47">
        <f t="shared" si="66"/>
        <v>0</v>
      </c>
      <c r="P231" s="79" t="str">
        <f t="shared" si="69"/>
        <v/>
      </c>
    </row>
    <row r="232" spans="1:16" ht="14.25" thickTop="1" thickBot="1" x14ac:dyDescent="0.25">
      <c r="A232" s="145" t="s">
        <v>57</v>
      </c>
      <c r="B232" s="146"/>
      <c r="C232" s="146"/>
      <c r="D232" s="147"/>
      <c r="E232" s="7"/>
      <c r="F232" s="42">
        <f t="shared" si="65"/>
        <v>0</v>
      </c>
      <c r="G232" s="77" t="str">
        <f t="shared" si="67"/>
        <v/>
      </c>
      <c r="H232" s="129" t="str">
        <f t="shared" si="68"/>
        <v/>
      </c>
      <c r="I232" s="311" t="s">
        <v>154</v>
      </c>
      <c r="J232" s="311"/>
      <c r="K232" s="311"/>
      <c r="L232" s="311"/>
      <c r="M232" s="311"/>
      <c r="N232" s="10"/>
      <c r="O232" s="54">
        <f t="shared" si="66"/>
        <v>0</v>
      </c>
      <c r="P232" s="79" t="str">
        <f t="shared" si="69"/>
        <v/>
      </c>
    </row>
    <row r="233" spans="1:16" ht="14.25" customHeight="1" thickTop="1" thickBot="1" x14ac:dyDescent="0.25">
      <c r="A233" s="145" t="s">
        <v>59</v>
      </c>
      <c r="B233" s="146"/>
      <c r="C233" s="146"/>
      <c r="D233" s="147"/>
      <c r="E233" s="7"/>
      <c r="F233" s="42">
        <f t="shared" si="65"/>
        <v>0</v>
      </c>
      <c r="G233" s="77" t="str">
        <f t="shared" si="67"/>
        <v/>
      </c>
      <c r="H233" s="129" t="str">
        <f t="shared" si="68"/>
        <v/>
      </c>
      <c r="I233" s="312" t="s">
        <v>155</v>
      </c>
      <c r="J233" s="312"/>
      <c r="K233" s="312"/>
      <c r="L233" s="312"/>
      <c r="M233" s="312"/>
      <c r="N233" s="11"/>
      <c r="O233" s="78">
        <f t="shared" si="66"/>
        <v>0</v>
      </c>
      <c r="P233" s="79" t="str">
        <f t="shared" si="69"/>
        <v/>
      </c>
    </row>
    <row r="234" spans="1:16" ht="13.5" customHeight="1" thickTop="1" x14ac:dyDescent="0.2">
      <c r="A234" s="145" t="s">
        <v>255</v>
      </c>
      <c r="B234" s="146"/>
      <c r="C234" s="146"/>
      <c r="D234" s="147"/>
      <c r="E234" s="7"/>
      <c r="F234" s="42">
        <f t="shared" si="65"/>
        <v>0</v>
      </c>
      <c r="G234" s="77" t="str">
        <f t="shared" si="67"/>
        <v/>
      </c>
      <c r="H234" s="129" t="str">
        <f t="shared" si="68"/>
        <v/>
      </c>
      <c r="I234" s="313" t="s">
        <v>114</v>
      </c>
      <c r="J234" s="313"/>
      <c r="K234" s="313"/>
      <c r="L234" s="313"/>
      <c r="M234" s="313"/>
      <c r="N234" s="9"/>
      <c r="O234" s="48">
        <f t="shared" si="66"/>
        <v>0</v>
      </c>
      <c r="P234" s="79" t="str">
        <f t="shared" ref="P234" si="70">IF(N234&gt;N$235,1,"")</f>
        <v/>
      </c>
    </row>
    <row r="235" spans="1:16" ht="12.75" customHeight="1" x14ac:dyDescent="0.2">
      <c r="A235" s="160" t="s">
        <v>259</v>
      </c>
      <c r="B235" s="161"/>
      <c r="C235" s="161"/>
      <c r="D235" s="162"/>
      <c r="E235" s="41" t="s">
        <v>15</v>
      </c>
      <c r="F235" s="41" t="s">
        <v>17</v>
      </c>
      <c r="G235" s="77"/>
      <c r="H235" s="129"/>
      <c r="I235" s="310" t="s">
        <v>16</v>
      </c>
      <c r="J235" s="310"/>
      <c r="K235" s="310"/>
      <c r="L235" s="310"/>
      <c r="M235" s="310"/>
      <c r="N235" s="55">
        <f>O41</f>
        <v>0</v>
      </c>
      <c r="O235" s="43">
        <f t="shared" si="66"/>
        <v>0</v>
      </c>
      <c r="P235" s="79">
        <f>SUM(P225:P234)</f>
        <v>0</v>
      </c>
    </row>
    <row r="236" spans="1:16" x14ac:dyDescent="0.2">
      <c r="A236" s="145" t="s">
        <v>50</v>
      </c>
      <c r="B236" s="146"/>
      <c r="C236" s="146"/>
      <c r="D236" s="147"/>
      <c r="E236" s="7"/>
      <c r="F236" s="42">
        <f>IF($N$235=0,0,E236/$K$41)</f>
        <v>0</v>
      </c>
      <c r="G236" s="77" t="str">
        <f>IF(E236&lt;N211,1,"")</f>
        <v/>
      </c>
      <c r="H236" s="129" t="str">
        <f t="shared" si="68"/>
        <v/>
      </c>
      <c r="P236" s="79" t="str">
        <f t="shared" ref="P236:P238" si="71">IF(N230&lt;=N$235,"",1)</f>
        <v/>
      </c>
    </row>
    <row r="237" spans="1:16" ht="12.75" customHeight="1" x14ac:dyDescent="0.2">
      <c r="A237" s="145" t="s">
        <v>201</v>
      </c>
      <c r="B237" s="146"/>
      <c r="C237" s="146"/>
      <c r="D237" s="147"/>
      <c r="E237" s="9"/>
      <c r="F237" s="42">
        <f>IF($O$221=0,0,E237/$O$221)</f>
        <v>0</v>
      </c>
      <c r="G237" s="77" t="str">
        <f t="shared" ref="G237:G239" si="72">IF(E237&lt;N212,1,"")</f>
        <v/>
      </c>
      <c r="H237" s="129" t="str">
        <f t="shared" si="68"/>
        <v/>
      </c>
      <c r="I237" s="73" t="s">
        <v>417</v>
      </c>
      <c r="P237" s="79" t="str">
        <f t="shared" si="71"/>
        <v/>
      </c>
    </row>
    <row r="238" spans="1:16" x14ac:dyDescent="0.2">
      <c r="A238" s="304" t="s">
        <v>37</v>
      </c>
      <c r="B238" s="305"/>
      <c r="C238" s="305"/>
      <c r="D238" s="308"/>
      <c r="E238" s="7"/>
      <c r="F238" s="42">
        <f>IF($N$235=0,0,E238/$K$41)</f>
        <v>0</v>
      </c>
      <c r="G238" s="77" t="str">
        <f t="shared" si="72"/>
        <v/>
      </c>
      <c r="H238" s="129" t="str">
        <f t="shared" si="68"/>
        <v/>
      </c>
      <c r="I238" s="73" t="s">
        <v>416</v>
      </c>
      <c r="P238" s="79" t="str">
        <f t="shared" si="71"/>
        <v/>
      </c>
    </row>
    <row r="239" spans="1:16" x14ac:dyDescent="0.2">
      <c r="A239" s="304" t="s">
        <v>200</v>
      </c>
      <c r="B239" s="305"/>
      <c r="C239" s="305"/>
      <c r="D239" s="308"/>
      <c r="E239" s="7"/>
      <c r="F239" s="42">
        <f>IF($N$235=0,0,E239/$K$41)</f>
        <v>0</v>
      </c>
      <c r="G239" s="77" t="str">
        <f t="shared" si="72"/>
        <v/>
      </c>
      <c r="H239" s="129" t="str">
        <f t="shared" si="68"/>
        <v/>
      </c>
      <c r="I239" s="73" t="s">
        <v>418</v>
      </c>
      <c r="N239" s="27"/>
      <c r="O239" s="75"/>
      <c r="P239" s="72"/>
    </row>
    <row r="240" spans="1:16" ht="12.75" customHeight="1" x14ac:dyDescent="0.2">
      <c r="A240" s="169" t="s">
        <v>260</v>
      </c>
      <c r="B240" s="170"/>
      <c r="C240" s="170"/>
      <c r="D240" s="171"/>
      <c r="E240" s="55">
        <f>K41</f>
        <v>0</v>
      </c>
      <c r="F240" s="43">
        <f>IF($O$221=0,0,E240/$O$221)</f>
        <v>0</v>
      </c>
      <c r="G240" s="79">
        <f>SUM(G225:G239)</f>
        <v>0</v>
      </c>
      <c r="H240" s="79">
        <f>SUM(H225:H239)</f>
        <v>0</v>
      </c>
      <c r="I240" s="80">
        <f>SUM(I226:I239)</f>
        <v>0</v>
      </c>
      <c r="J240" s="37" t="str">
        <f>IF(I240&gt;0,"falsche Diagnoseneinträge in Spalte G von Tabelle 9"," ")</f>
        <v xml:space="preserve"> </v>
      </c>
      <c r="P240" s="72"/>
    </row>
    <row r="241" spans="1:17" x14ac:dyDescent="0.2">
      <c r="A241" s="37" t="str">
        <f>IF(G240=0,"","Einträge der Einzeldiagnose muss mindestens gleich der Einträge der Hauptdiagnose sein")</f>
        <v/>
      </c>
      <c r="P241" s="72"/>
    </row>
    <row r="242" spans="1:17" x14ac:dyDescent="0.2">
      <c r="A242" s="81"/>
      <c r="B242" s="53"/>
      <c r="C242" s="53"/>
      <c r="D242" s="53"/>
      <c r="E242" s="53"/>
      <c r="F242" s="53"/>
      <c r="J242" s="73"/>
      <c r="O242" s="27"/>
      <c r="P242" s="75"/>
    </row>
    <row r="243" spans="1:17" x14ac:dyDescent="0.2">
      <c r="A243" s="24" t="s">
        <v>414</v>
      </c>
      <c r="D243" s="53"/>
      <c r="E243" s="53"/>
      <c r="F243" s="53"/>
      <c r="G243" s="53"/>
      <c r="H243" s="53"/>
      <c r="K243" s="82"/>
    </row>
    <row r="244" spans="1:17" x14ac:dyDescent="0.2">
      <c r="A244" s="37" t="str">
        <f>IF(SUM(E246:E259)=E260,"","Summe von E244 - E257 ergibt nicht die Geamtfallzahl dieser Tabelle")</f>
        <v/>
      </c>
      <c r="D244" s="53"/>
      <c r="E244" s="53"/>
      <c r="F244" s="53"/>
      <c r="G244" s="53"/>
      <c r="H244" s="53"/>
      <c r="I244" s="37" t="str">
        <f>IF(SUM(N246:N259)=N260,"","Summe  von N244 - N257  ergibt nicht die Gesamtfallzahl dieser Tabelle")</f>
        <v/>
      </c>
      <c r="K244" s="82"/>
    </row>
    <row r="245" spans="1:17" ht="12.75" customHeight="1" x14ac:dyDescent="0.2">
      <c r="A245" s="160" t="s">
        <v>94</v>
      </c>
      <c r="B245" s="161"/>
      <c r="C245" s="161"/>
      <c r="D245" s="162"/>
      <c r="E245" s="40" t="s">
        <v>15</v>
      </c>
      <c r="F245" s="40" t="s">
        <v>17</v>
      </c>
      <c r="G245" s="40" t="s">
        <v>49</v>
      </c>
      <c r="H245" s="25"/>
      <c r="I245" s="160" t="s">
        <v>91</v>
      </c>
      <c r="J245" s="161"/>
      <c r="K245" s="161"/>
      <c r="L245" s="161"/>
      <c r="M245" s="247"/>
      <c r="N245" s="41" t="s">
        <v>15</v>
      </c>
      <c r="O245" s="40" t="s">
        <v>17</v>
      </c>
      <c r="P245" s="40" t="s">
        <v>49</v>
      </c>
      <c r="Q245" s="53"/>
    </row>
    <row r="246" spans="1:17" ht="12.75" customHeight="1" x14ac:dyDescent="0.2">
      <c r="A246" s="145" t="s">
        <v>75</v>
      </c>
      <c r="B246" s="146"/>
      <c r="C246" s="146"/>
      <c r="D246" s="147"/>
      <c r="E246" s="6"/>
      <c r="F246" s="42">
        <f t="shared" ref="F246:F260" si="73">IF($E$260=0,0,E246/$E$260)</f>
        <v>0</v>
      </c>
      <c r="G246" s="42">
        <f t="shared" ref="G246:G259" si="74">IF(($E$260-$E$259)=0,0,E246/($E$260-$E$259))</f>
        <v>0</v>
      </c>
      <c r="H246" s="25"/>
      <c r="I246" s="273" t="s">
        <v>75</v>
      </c>
      <c r="J246" s="274" t="s">
        <v>75</v>
      </c>
      <c r="K246" s="275" t="s">
        <v>75</v>
      </c>
      <c r="L246" s="275" t="s">
        <v>75</v>
      </c>
      <c r="M246" s="276"/>
      <c r="N246" s="9"/>
      <c r="O246" s="42">
        <f t="shared" ref="O246:O260" si="75">IF($N$260=0,0,N246/$N$260)</f>
        <v>0</v>
      </c>
      <c r="P246" s="42">
        <f t="shared" ref="P246:P259" si="76">IF(($N$260-$N$259)=0,0,N246/($N$260-$N$259))</f>
        <v>0</v>
      </c>
    </row>
    <row r="247" spans="1:17" ht="12.75" customHeight="1" x14ac:dyDescent="0.2">
      <c r="A247" s="145" t="s">
        <v>76</v>
      </c>
      <c r="B247" s="146"/>
      <c r="C247" s="146"/>
      <c r="D247" s="147"/>
      <c r="E247" s="6"/>
      <c r="F247" s="42">
        <f t="shared" si="73"/>
        <v>0</v>
      </c>
      <c r="G247" s="42">
        <f t="shared" si="74"/>
        <v>0</v>
      </c>
      <c r="H247" s="25"/>
      <c r="I247" s="273" t="s">
        <v>76</v>
      </c>
      <c r="J247" s="274"/>
      <c r="K247" s="275"/>
      <c r="L247" s="275"/>
      <c r="M247" s="276"/>
      <c r="N247" s="9"/>
      <c r="O247" s="42">
        <f t="shared" si="75"/>
        <v>0</v>
      </c>
      <c r="P247" s="42">
        <f t="shared" si="76"/>
        <v>0</v>
      </c>
    </row>
    <row r="248" spans="1:17" ht="12.75" customHeight="1" x14ac:dyDescent="0.2">
      <c r="A248" s="145" t="s">
        <v>77</v>
      </c>
      <c r="B248" s="146"/>
      <c r="C248" s="146"/>
      <c r="D248" s="147"/>
      <c r="E248" s="6"/>
      <c r="F248" s="42">
        <f t="shared" si="73"/>
        <v>0</v>
      </c>
      <c r="G248" s="42">
        <f t="shared" si="74"/>
        <v>0</v>
      </c>
      <c r="H248" s="25"/>
      <c r="I248" s="273" t="s">
        <v>77</v>
      </c>
      <c r="J248" s="274"/>
      <c r="K248" s="275"/>
      <c r="L248" s="275"/>
      <c r="M248" s="276"/>
      <c r="N248" s="9"/>
      <c r="O248" s="42">
        <f t="shared" si="75"/>
        <v>0</v>
      </c>
      <c r="P248" s="42">
        <f t="shared" si="76"/>
        <v>0</v>
      </c>
    </row>
    <row r="249" spans="1:17" ht="39.75" customHeight="1" x14ac:dyDescent="0.2">
      <c r="A249" s="145" t="s">
        <v>419</v>
      </c>
      <c r="B249" s="146"/>
      <c r="C249" s="146"/>
      <c r="D249" s="147"/>
      <c r="E249" s="6"/>
      <c r="F249" s="42">
        <f t="shared" si="73"/>
        <v>0</v>
      </c>
      <c r="G249" s="42">
        <f t="shared" si="74"/>
        <v>0</v>
      </c>
      <c r="H249" s="25"/>
      <c r="I249" s="273" t="s">
        <v>419</v>
      </c>
      <c r="J249" s="274"/>
      <c r="K249" s="275"/>
      <c r="L249" s="275"/>
      <c r="M249" s="276"/>
      <c r="N249" s="9"/>
      <c r="O249" s="42">
        <f t="shared" si="75"/>
        <v>0</v>
      </c>
      <c r="P249" s="42">
        <f t="shared" si="76"/>
        <v>0</v>
      </c>
    </row>
    <row r="250" spans="1:17" ht="12.75" customHeight="1" x14ac:dyDescent="0.2">
      <c r="A250" s="145" t="s">
        <v>420</v>
      </c>
      <c r="B250" s="146"/>
      <c r="C250" s="146"/>
      <c r="D250" s="147"/>
      <c r="E250" s="6"/>
      <c r="F250" s="42">
        <f t="shared" si="73"/>
        <v>0</v>
      </c>
      <c r="G250" s="42">
        <f t="shared" si="74"/>
        <v>0</v>
      </c>
      <c r="H250" s="25"/>
      <c r="I250" s="273" t="s">
        <v>420</v>
      </c>
      <c r="J250" s="274"/>
      <c r="K250" s="275"/>
      <c r="L250" s="275"/>
      <c r="M250" s="276"/>
      <c r="N250" s="9"/>
      <c r="O250" s="42">
        <f t="shared" si="75"/>
        <v>0</v>
      </c>
      <c r="P250" s="42">
        <f t="shared" si="76"/>
        <v>0</v>
      </c>
    </row>
    <row r="251" spans="1:17" ht="12.75" customHeight="1" x14ac:dyDescent="0.2">
      <c r="A251" s="145" t="s">
        <v>261</v>
      </c>
      <c r="B251" s="146"/>
      <c r="C251" s="146"/>
      <c r="D251" s="147"/>
      <c r="E251" s="6"/>
      <c r="F251" s="42">
        <f t="shared" si="73"/>
        <v>0</v>
      </c>
      <c r="G251" s="42">
        <f t="shared" si="74"/>
        <v>0</v>
      </c>
      <c r="H251" s="25"/>
      <c r="I251" s="273" t="s">
        <v>261</v>
      </c>
      <c r="J251" s="274"/>
      <c r="K251" s="275"/>
      <c r="L251" s="275"/>
      <c r="M251" s="276"/>
      <c r="N251" s="9"/>
      <c r="O251" s="42">
        <f t="shared" si="75"/>
        <v>0</v>
      </c>
      <c r="P251" s="42">
        <f t="shared" si="76"/>
        <v>0</v>
      </c>
    </row>
    <row r="252" spans="1:17" ht="13.5" customHeight="1" x14ac:dyDescent="0.2">
      <c r="A252" s="145" t="s">
        <v>78</v>
      </c>
      <c r="B252" s="146"/>
      <c r="C252" s="146"/>
      <c r="D252" s="147"/>
      <c r="E252" s="6"/>
      <c r="F252" s="42">
        <f t="shared" si="73"/>
        <v>0</v>
      </c>
      <c r="G252" s="42">
        <f t="shared" si="74"/>
        <v>0</v>
      </c>
      <c r="H252" s="25"/>
      <c r="I252" s="273" t="s">
        <v>78</v>
      </c>
      <c r="J252" s="274"/>
      <c r="K252" s="275"/>
      <c r="L252" s="275"/>
      <c r="M252" s="276"/>
      <c r="N252" s="9"/>
      <c r="O252" s="42">
        <f t="shared" si="75"/>
        <v>0</v>
      </c>
      <c r="P252" s="42">
        <f t="shared" si="76"/>
        <v>0</v>
      </c>
    </row>
    <row r="253" spans="1:17" ht="13.5" customHeight="1" thickBot="1" x14ac:dyDescent="0.25">
      <c r="A253" s="148" t="s">
        <v>79</v>
      </c>
      <c r="B253" s="149"/>
      <c r="C253" s="149"/>
      <c r="D253" s="150"/>
      <c r="E253" s="13"/>
      <c r="F253" s="47">
        <f t="shared" si="73"/>
        <v>0</v>
      </c>
      <c r="G253" s="47">
        <f t="shared" si="74"/>
        <v>0</v>
      </c>
      <c r="H253" s="25"/>
      <c r="I253" s="148" t="s">
        <v>79</v>
      </c>
      <c r="J253" s="277"/>
      <c r="K253" s="278"/>
      <c r="L253" s="278"/>
      <c r="M253" s="279"/>
      <c r="N253" s="8"/>
      <c r="O253" s="47">
        <f t="shared" si="75"/>
        <v>0</v>
      </c>
      <c r="P253" s="47">
        <f t="shared" si="76"/>
        <v>0</v>
      </c>
    </row>
    <row r="254" spans="1:17" ht="12.75" customHeight="1" thickTop="1" x14ac:dyDescent="0.2">
      <c r="A254" s="151" t="s">
        <v>80</v>
      </c>
      <c r="B254" s="152"/>
      <c r="C254" s="152"/>
      <c r="D254" s="153"/>
      <c r="E254" s="6"/>
      <c r="F254" s="48">
        <f t="shared" si="73"/>
        <v>0</v>
      </c>
      <c r="G254" s="48">
        <f t="shared" si="74"/>
        <v>0</v>
      </c>
      <c r="H254" s="25"/>
      <c r="I254" s="387" t="s">
        <v>80</v>
      </c>
      <c r="J254" s="388"/>
      <c r="K254" s="389"/>
      <c r="L254" s="389"/>
      <c r="M254" s="390"/>
      <c r="N254" s="9"/>
      <c r="O254" s="48">
        <f t="shared" si="75"/>
        <v>0</v>
      </c>
      <c r="P254" s="48">
        <f t="shared" si="76"/>
        <v>0</v>
      </c>
    </row>
    <row r="255" spans="1:17" ht="12.75" customHeight="1" x14ac:dyDescent="0.2">
      <c r="A255" s="145" t="s">
        <v>262</v>
      </c>
      <c r="B255" s="146"/>
      <c r="C255" s="146"/>
      <c r="D255" s="147"/>
      <c r="E255" s="6"/>
      <c r="F255" s="42">
        <f t="shared" si="73"/>
        <v>0</v>
      </c>
      <c r="G255" s="42">
        <f t="shared" si="74"/>
        <v>0</v>
      </c>
      <c r="H255" s="25"/>
      <c r="I255" s="273" t="s">
        <v>262</v>
      </c>
      <c r="J255" s="274"/>
      <c r="K255" s="275"/>
      <c r="L255" s="275"/>
      <c r="M255" s="276"/>
      <c r="N255" s="9"/>
      <c r="O255" s="42">
        <f t="shared" si="75"/>
        <v>0</v>
      </c>
      <c r="P255" s="42">
        <f t="shared" si="76"/>
        <v>0</v>
      </c>
    </row>
    <row r="256" spans="1:17" ht="12.75" customHeight="1" x14ac:dyDescent="0.2">
      <c r="A256" s="145" t="s">
        <v>82</v>
      </c>
      <c r="B256" s="146" t="s">
        <v>81</v>
      </c>
      <c r="C256" s="146" t="s">
        <v>81</v>
      </c>
      <c r="D256" s="147" t="s">
        <v>81</v>
      </c>
      <c r="E256" s="6"/>
      <c r="F256" s="42">
        <f t="shared" si="73"/>
        <v>0</v>
      </c>
      <c r="G256" s="42">
        <f t="shared" si="74"/>
        <v>0</v>
      </c>
      <c r="H256" s="25"/>
      <c r="I256" s="273" t="s">
        <v>82</v>
      </c>
      <c r="J256" s="274"/>
      <c r="K256" s="275"/>
      <c r="L256" s="275"/>
      <c r="M256" s="276"/>
      <c r="N256" s="9"/>
      <c r="O256" s="42">
        <f t="shared" si="75"/>
        <v>0</v>
      </c>
      <c r="P256" s="42">
        <f t="shared" si="76"/>
        <v>0</v>
      </c>
    </row>
    <row r="257" spans="1:17" ht="26.25" customHeight="1" x14ac:dyDescent="0.2">
      <c r="A257" s="145" t="s">
        <v>265</v>
      </c>
      <c r="B257" s="146" t="s">
        <v>82</v>
      </c>
      <c r="C257" s="146" t="s">
        <v>82</v>
      </c>
      <c r="D257" s="147" t="s">
        <v>82</v>
      </c>
      <c r="E257" s="6"/>
      <c r="F257" s="42">
        <f t="shared" si="73"/>
        <v>0</v>
      </c>
      <c r="G257" s="42">
        <f t="shared" si="74"/>
        <v>0</v>
      </c>
      <c r="H257" s="25"/>
      <c r="I257" s="273" t="s">
        <v>263</v>
      </c>
      <c r="J257" s="274"/>
      <c r="K257" s="275"/>
      <c r="L257" s="275"/>
      <c r="M257" s="276"/>
      <c r="N257" s="9"/>
      <c r="O257" s="42">
        <f t="shared" si="75"/>
        <v>0</v>
      </c>
      <c r="P257" s="42">
        <f t="shared" si="76"/>
        <v>0</v>
      </c>
    </row>
    <row r="258" spans="1:17" ht="27" customHeight="1" thickBot="1" x14ac:dyDescent="0.25">
      <c r="A258" s="148" t="s">
        <v>266</v>
      </c>
      <c r="B258" s="149" t="s">
        <v>83</v>
      </c>
      <c r="C258" s="149" t="s">
        <v>83</v>
      </c>
      <c r="D258" s="150" t="s">
        <v>83</v>
      </c>
      <c r="E258" s="13"/>
      <c r="F258" s="47">
        <f t="shared" si="73"/>
        <v>0</v>
      </c>
      <c r="G258" s="47">
        <f t="shared" si="74"/>
        <v>0</v>
      </c>
      <c r="H258" s="25"/>
      <c r="I258" s="148" t="s">
        <v>264</v>
      </c>
      <c r="J258" s="277"/>
      <c r="K258" s="278"/>
      <c r="L258" s="278"/>
      <c r="M258" s="279"/>
      <c r="N258" s="8"/>
      <c r="O258" s="47">
        <f t="shared" si="75"/>
        <v>0</v>
      </c>
      <c r="P258" s="47">
        <f t="shared" si="76"/>
        <v>0</v>
      </c>
    </row>
    <row r="259" spans="1:17" ht="13.5" thickTop="1" x14ac:dyDescent="0.2">
      <c r="A259" s="151" t="s">
        <v>61</v>
      </c>
      <c r="B259" s="152"/>
      <c r="C259" s="152"/>
      <c r="D259" s="153"/>
      <c r="E259" s="6"/>
      <c r="F259" s="48">
        <f t="shared" si="73"/>
        <v>0</v>
      </c>
      <c r="G259" s="49">
        <f t="shared" si="74"/>
        <v>0</v>
      </c>
      <c r="H259" s="25"/>
      <c r="I259" s="387" t="s">
        <v>61</v>
      </c>
      <c r="J259" s="388"/>
      <c r="K259" s="389"/>
      <c r="L259" s="389"/>
      <c r="M259" s="372"/>
      <c r="N259" s="9"/>
      <c r="O259" s="48">
        <f t="shared" si="75"/>
        <v>0</v>
      </c>
      <c r="P259" s="49">
        <f t="shared" si="76"/>
        <v>0</v>
      </c>
    </row>
    <row r="260" spans="1:17" x14ac:dyDescent="0.2">
      <c r="A260" s="160" t="s">
        <v>16</v>
      </c>
      <c r="B260" s="161"/>
      <c r="C260" s="161"/>
      <c r="D260" s="162"/>
      <c r="E260" s="83">
        <f>O$41</f>
        <v>0</v>
      </c>
      <c r="F260" s="43">
        <f t="shared" si="73"/>
        <v>0</v>
      </c>
      <c r="G260" s="43"/>
      <c r="H260" s="25"/>
      <c r="I260" s="160" t="s">
        <v>16</v>
      </c>
      <c r="J260" s="161"/>
      <c r="K260" s="161"/>
      <c r="L260" s="161"/>
      <c r="M260" s="223"/>
      <c r="N260" s="83">
        <f>$O$40</f>
        <v>0</v>
      </c>
      <c r="O260" s="43">
        <f t="shared" si="75"/>
        <v>0</v>
      </c>
      <c r="P260" s="43"/>
    </row>
    <row r="261" spans="1:17" x14ac:dyDescent="0.2">
      <c r="A261" s="37" t="str">
        <f>IF(SUM(E263:E272)=E273,"","Summe von E261 - E270 ergibt noch nicht Gesamtfallzahl dieser Tabelle")</f>
        <v/>
      </c>
      <c r="B261" s="84"/>
      <c r="C261" s="84"/>
      <c r="D261" s="84"/>
      <c r="E261" s="84"/>
      <c r="F261" s="84"/>
      <c r="G261" s="84"/>
      <c r="I261" s="37" t="str">
        <f>IF(SUM(N263:N272)=N273,"","Summe von N261 - N270 ergibt noch nicht die Gesamtfallzahl dieser Tabelle")</f>
        <v/>
      </c>
    </row>
    <row r="262" spans="1:17" ht="12.75" customHeight="1" x14ac:dyDescent="0.2">
      <c r="A262" s="160" t="s">
        <v>92</v>
      </c>
      <c r="B262" s="161"/>
      <c r="C262" s="161"/>
      <c r="D262" s="162"/>
      <c r="E262" s="40" t="s">
        <v>15</v>
      </c>
      <c r="F262" s="40" t="s">
        <v>17</v>
      </c>
      <c r="G262" s="40" t="s">
        <v>49</v>
      </c>
      <c r="I262" s="160" t="s">
        <v>93</v>
      </c>
      <c r="J262" s="161"/>
      <c r="K262" s="161"/>
      <c r="L262" s="161"/>
      <c r="M262" s="247"/>
      <c r="N262" s="41" t="s">
        <v>15</v>
      </c>
      <c r="O262" s="40" t="s">
        <v>17</v>
      </c>
      <c r="P262" s="40" t="s">
        <v>49</v>
      </c>
    </row>
    <row r="263" spans="1:17" ht="12.75" customHeight="1" x14ac:dyDescent="0.2">
      <c r="A263" s="145" t="s">
        <v>349</v>
      </c>
      <c r="B263" s="146"/>
      <c r="C263" s="146"/>
      <c r="D263" s="147"/>
      <c r="E263" s="6"/>
      <c r="F263" s="42">
        <f t="shared" ref="F263:F273" si="77">IF($E$273=0,0,E263/$E$273)</f>
        <v>0</v>
      </c>
      <c r="G263" s="42">
        <f t="shared" ref="G263:G272" si="78">IF(($E$273-$E$272)=0,0,E263/($E$273-$E$272))</f>
        <v>0</v>
      </c>
      <c r="I263" s="145" t="s">
        <v>349</v>
      </c>
      <c r="J263" s="247"/>
      <c r="K263" s="247"/>
      <c r="L263" s="247"/>
      <c r="M263" s="223"/>
      <c r="N263" s="7"/>
      <c r="O263" s="42">
        <f t="shared" ref="O263:O273" si="79">IF($N$273=0,0,N263/$N$273)</f>
        <v>0</v>
      </c>
      <c r="P263" s="42">
        <f t="shared" ref="P263:P272" si="80">IF(($N$273-$N$272)=0,0,N263/($N$273-$N$272))</f>
        <v>0</v>
      </c>
      <c r="Q263" s="53"/>
    </row>
    <row r="264" spans="1:17" x14ac:dyDescent="0.2">
      <c r="A264" s="145" t="s">
        <v>267</v>
      </c>
      <c r="B264" s="146"/>
      <c r="C264" s="146"/>
      <c r="D264" s="147"/>
      <c r="E264" s="6"/>
      <c r="F264" s="42">
        <f t="shared" si="77"/>
        <v>0</v>
      </c>
      <c r="G264" s="42">
        <f t="shared" si="78"/>
        <v>0</v>
      </c>
      <c r="I264" s="145" t="s">
        <v>267</v>
      </c>
      <c r="J264" s="247"/>
      <c r="K264" s="247"/>
      <c r="L264" s="247"/>
      <c r="M264" s="223"/>
      <c r="N264" s="7"/>
      <c r="O264" s="42">
        <f t="shared" si="79"/>
        <v>0</v>
      </c>
      <c r="P264" s="42">
        <f t="shared" si="80"/>
        <v>0</v>
      </c>
    </row>
    <row r="265" spans="1:17" ht="12.75" customHeight="1" x14ac:dyDescent="0.2">
      <c r="A265" s="145" t="s">
        <v>84</v>
      </c>
      <c r="B265" s="146"/>
      <c r="C265" s="146"/>
      <c r="D265" s="147"/>
      <c r="E265" s="6"/>
      <c r="F265" s="42">
        <f t="shared" si="77"/>
        <v>0</v>
      </c>
      <c r="G265" s="42">
        <f t="shared" si="78"/>
        <v>0</v>
      </c>
      <c r="I265" s="145" t="s">
        <v>84</v>
      </c>
      <c r="J265" s="247"/>
      <c r="K265" s="247"/>
      <c r="L265" s="247"/>
      <c r="M265" s="223"/>
      <c r="N265" s="7"/>
      <c r="O265" s="42">
        <f t="shared" si="79"/>
        <v>0</v>
      </c>
      <c r="P265" s="42">
        <f t="shared" si="80"/>
        <v>0</v>
      </c>
    </row>
    <row r="266" spans="1:17" ht="12.75" customHeight="1" x14ac:dyDescent="0.2">
      <c r="A266" s="145" t="s">
        <v>268</v>
      </c>
      <c r="B266" s="146"/>
      <c r="C266" s="146"/>
      <c r="D266" s="147"/>
      <c r="E266" s="6"/>
      <c r="F266" s="42">
        <f t="shared" si="77"/>
        <v>0</v>
      </c>
      <c r="G266" s="42">
        <f t="shared" si="78"/>
        <v>0</v>
      </c>
      <c r="I266" s="145" t="s">
        <v>268</v>
      </c>
      <c r="J266" s="247"/>
      <c r="K266" s="247"/>
      <c r="L266" s="247"/>
      <c r="M266" s="223"/>
      <c r="N266" s="7"/>
      <c r="O266" s="42">
        <f t="shared" si="79"/>
        <v>0</v>
      </c>
      <c r="P266" s="42">
        <f t="shared" si="80"/>
        <v>0</v>
      </c>
    </row>
    <row r="267" spans="1:17" ht="12.75" customHeight="1" x14ac:dyDescent="0.2">
      <c r="A267" s="145" t="s">
        <v>269</v>
      </c>
      <c r="B267" s="146"/>
      <c r="C267" s="146"/>
      <c r="D267" s="147"/>
      <c r="E267" s="6"/>
      <c r="F267" s="42">
        <f t="shared" si="77"/>
        <v>0</v>
      </c>
      <c r="G267" s="42">
        <f t="shared" si="78"/>
        <v>0</v>
      </c>
      <c r="I267" s="145" t="s">
        <v>269</v>
      </c>
      <c r="J267" s="247"/>
      <c r="K267" s="247"/>
      <c r="L267" s="247"/>
      <c r="M267" s="223"/>
      <c r="N267" s="7"/>
      <c r="O267" s="42">
        <f t="shared" si="79"/>
        <v>0</v>
      </c>
      <c r="P267" s="42">
        <f t="shared" si="80"/>
        <v>0</v>
      </c>
    </row>
    <row r="268" spans="1:17" ht="12.75" customHeight="1" x14ac:dyDescent="0.2">
      <c r="A268" s="145" t="s">
        <v>270</v>
      </c>
      <c r="B268" s="146"/>
      <c r="C268" s="146"/>
      <c r="D268" s="147"/>
      <c r="E268" s="6"/>
      <c r="F268" s="42">
        <f t="shared" si="77"/>
        <v>0</v>
      </c>
      <c r="G268" s="42">
        <f t="shared" si="78"/>
        <v>0</v>
      </c>
      <c r="I268" s="145" t="s">
        <v>270</v>
      </c>
      <c r="J268" s="247"/>
      <c r="K268" s="247"/>
      <c r="L268" s="247"/>
      <c r="M268" s="223"/>
      <c r="N268" s="7"/>
      <c r="O268" s="42">
        <f t="shared" si="79"/>
        <v>0</v>
      </c>
      <c r="P268" s="42">
        <f t="shared" si="80"/>
        <v>0</v>
      </c>
    </row>
    <row r="269" spans="1:17" ht="12.75" customHeight="1" x14ac:dyDescent="0.2">
      <c r="A269" s="145" t="s">
        <v>271</v>
      </c>
      <c r="B269" s="146"/>
      <c r="C269" s="146"/>
      <c r="D269" s="147"/>
      <c r="E269" s="6"/>
      <c r="F269" s="42">
        <f t="shared" si="77"/>
        <v>0</v>
      </c>
      <c r="G269" s="42">
        <f t="shared" si="78"/>
        <v>0</v>
      </c>
      <c r="I269" s="145" t="s">
        <v>271</v>
      </c>
      <c r="J269" s="247"/>
      <c r="K269" s="247"/>
      <c r="L269" s="247"/>
      <c r="M269" s="223"/>
      <c r="N269" s="7"/>
      <c r="O269" s="42">
        <f t="shared" si="79"/>
        <v>0</v>
      </c>
      <c r="P269" s="42">
        <f t="shared" si="80"/>
        <v>0</v>
      </c>
    </row>
    <row r="270" spans="1:17" x14ac:dyDescent="0.2">
      <c r="A270" s="145" t="s">
        <v>29</v>
      </c>
      <c r="B270" s="146"/>
      <c r="C270" s="146"/>
      <c r="D270" s="147"/>
      <c r="E270" s="6"/>
      <c r="F270" s="42">
        <f t="shared" si="77"/>
        <v>0</v>
      </c>
      <c r="G270" s="42">
        <f t="shared" si="78"/>
        <v>0</v>
      </c>
      <c r="I270" s="145" t="s">
        <v>29</v>
      </c>
      <c r="J270" s="247"/>
      <c r="K270" s="247"/>
      <c r="L270" s="247"/>
      <c r="M270" s="223"/>
      <c r="N270" s="7"/>
      <c r="O270" s="42">
        <f t="shared" si="79"/>
        <v>0</v>
      </c>
      <c r="P270" s="42">
        <f t="shared" si="80"/>
        <v>0</v>
      </c>
    </row>
    <row r="271" spans="1:17" x14ac:dyDescent="0.2">
      <c r="A271" s="145" t="s">
        <v>236</v>
      </c>
      <c r="B271" s="146"/>
      <c r="C271" s="146"/>
      <c r="D271" s="147"/>
      <c r="E271" s="6"/>
      <c r="F271" s="42">
        <f t="shared" si="77"/>
        <v>0</v>
      </c>
      <c r="G271" s="42">
        <f t="shared" si="78"/>
        <v>0</v>
      </c>
      <c r="I271" s="145" t="s">
        <v>236</v>
      </c>
      <c r="J271" s="261" t="s">
        <v>83</v>
      </c>
      <c r="K271" s="261" t="s">
        <v>83</v>
      </c>
      <c r="L271" s="261" t="s">
        <v>83</v>
      </c>
      <c r="M271" s="262"/>
      <c r="N271" s="7"/>
      <c r="O271" s="42">
        <f t="shared" si="79"/>
        <v>0</v>
      </c>
      <c r="P271" s="42">
        <f t="shared" si="80"/>
        <v>0</v>
      </c>
    </row>
    <row r="272" spans="1:17" x14ac:dyDescent="0.2">
      <c r="A272" s="145" t="s">
        <v>61</v>
      </c>
      <c r="B272" s="146"/>
      <c r="C272" s="146"/>
      <c r="D272" s="147"/>
      <c r="E272" s="6"/>
      <c r="F272" s="42">
        <f t="shared" si="77"/>
        <v>0</v>
      </c>
      <c r="G272" s="85">
        <f t="shared" si="78"/>
        <v>0</v>
      </c>
      <c r="I272" s="145" t="s">
        <v>61</v>
      </c>
      <c r="J272" s="247"/>
      <c r="K272" s="247"/>
      <c r="L272" s="247"/>
      <c r="M272" s="223"/>
      <c r="N272" s="7"/>
      <c r="O272" s="42">
        <f t="shared" si="79"/>
        <v>0</v>
      </c>
      <c r="P272" s="85">
        <f t="shared" si="80"/>
        <v>0</v>
      </c>
    </row>
    <row r="273" spans="1:17" x14ac:dyDescent="0.2">
      <c r="A273" s="160" t="s">
        <v>16</v>
      </c>
      <c r="B273" s="161"/>
      <c r="C273" s="161"/>
      <c r="D273" s="162"/>
      <c r="E273" s="83">
        <f>$O$41</f>
        <v>0</v>
      </c>
      <c r="F273" s="43">
        <f t="shared" si="77"/>
        <v>0</v>
      </c>
      <c r="G273" s="43"/>
      <c r="I273" s="160" t="s">
        <v>16</v>
      </c>
      <c r="J273" s="161"/>
      <c r="K273" s="161"/>
      <c r="L273" s="161"/>
      <c r="M273" s="247"/>
      <c r="N273" s="55">
        <f>$O$40</f>
        <v>0</v>
      </c>
      <c r="O273" s="43">
        <f t="shared" si="79"/>
        <v>0</v>
      </c>
      <c r="P273" s="43"/>
    </row>
    <row r="275" spans="1:17" x14ac:dyDescent="0.2">
      <c r="A275" s="37" t="str">
        <f>IF(P283=0,"","Anzahl der Nennungen bei einer Einzelmaßnahme darf nicht größer als der Gesamtwert in Zelle N281 sein")</f>
        <v/>
      </c>
      <c r="C275" s="53"/>
      <c r="D275" s="53"/>
      <c r="E275" s="53"/>
      <c r="F275" s="53"/>
      <c r="G275" s="53"/>
      <c r="H275" s="53"/>
    </row>
    <row r="276" spans="1:17" ht="22.5" customHeight="1" x14ac:dyDescent="0.2">
      <c r="A276" s="160" t="s">
        <v>370</v>
      </c>
      <c r="B276" s="161"/>
      <c r="C276" s="161"/>
      <c r="D276" s="162"/>
      <c r="E276" s="40" t="s">
        <v>15</v>
      </c>
      <c r="F276" s="40" t="s">
        <v>17</v>
      </c>
      <c r="G276" s="53"/>
      <c r="H276" s="53"/>
      <c r="I276" s="160" t="s">
        <v>370</v>
      </c>
      <c r="J276" s="161"/>
      <c r="K276" s="161"/>
      <c r="L276" s="161"/>
      <c r="M276" s="261"/>
      <c r="N276" s="41" t="s">
        <v>15</v>
      </c>
      <c r="O276" s="41" t="s">
        <v>17</v>
      </c>
      <c r="P276" s="53"/>
    </row>
    <row r="277" spans="1:17" ht="12.75" customHeight="1" x14ac:dyDescent="0.2">
      <c r="A277" s="219" t="s">
        <v>277</v>
      </c>
      <c r="B277" s="220"/>
      <c r="C277" s="220"/>
      <c r="D277" s="220"/>
      <c r="E277" s="220"/>
      <c r="F277" s="221"/>
      <c r="G277" s="86"/>
      <c r="H277" s="53"/>
      <c r="I277" s="219" t="s">
        <v>290</v>
      </c>
      <c r="J277" s="391"/>
      <c r="K277" s="391"/>
      <c r="L277" s="391"/>
      <c r="M277" s="261"/>
      <c r="N277" s="261"/>
      <c r="O277" s="262"/>
      <c r="P277" s="77" t="str">
        <f t="shared" ref="P277" si="81">IF(N277&gt;N$283,1," ")</f>
        <v xml:space="preserve"> </v>
      </c>
    </row>
    <row r="278" spans="1:17" ht="12.75" customHeight="1" x14ac:dyDescent="0.2">
      <c r="A278" s="145" t="s">
        <v>278</v>
      </c>
      <c r="B278" s="146"/>
      <c r="C278" s="146"/>
      <c r="D278" s="147"/>
      <c r="E278" s="6"/>
      <c r="F278" s="42">
        <f>IF($N$283=0,0,E278/$N$283)</f>
        <v>0</v>
      </c>
      <c r="G278" s="79" t="str">
        <f>IF(E278&gt;N$283,1,"")</f>
        <v/>
      </c>
      <c r="H278" s="53"/>
      <c r="I278" s="145" t="s">
        <v>294</v>
      </c>
      <c r="J278" s="261"/>
      <c r="K278" s="261"/>
      <c r="L278" s="261"/>
      <c r="M278" s="262"/>
      <c r="N278" s="7"/>
      <c r="O278" s="42">
        <f t="shared" ref="O278:O283" si="82">IF($N$283=0,0,N278/$N$283)</f>
        <v>0</v>
      </c>
      <c r="P278" s="79" t="str">
        <f>IF(N278&gt;N$283,1,"")</f>
        <v/>
      </c>
    </row>
    <row r="279" spans="1:17" ht="12.75" customHeight="1" x14ac:dyDescent="0.2">
      <c r="A279" s="145" t="s">
        <v>279</v>
      </c>
      <c r="B279" s="146"/>
      <c r="C279" s="146"/>
      <c r="D279" s="147"/>
      <c r="E279" s="6"/>
      <c r="F279" s="42">
        <f>IF($N$283=0,0,E279/$N$283)</f>
        <v>0</v>
      </c>
      <c r="G279" s="79" t="str">
        <f t="shared" ref="G279:G281" si="83">IF(E279&gt;N$283,1,"")</f>
        <v/>
      </c>
      <c r="H279" s="53"/>
      <c r="I279" s="145" t="s">
        <v>295</v>
      </c>
      <c r="J279" s="261"/>
      <c r="K279" s="261"/>
      <c r="L279" s="261"/>
      <c r="M279" s="262"/>
      <c r="N279" s="7"/>
      <c r="O279" s="42">
        <f t="shared" si="82"/>
        <v>0</v>
      </c>
      <c r="P279" s="79" t="str">
        <f t="shared" ref="P279:P282" si="84">IF(N279&gt;N$283,1,"")</f>
        <v/>
      </c>
    </row>
    <row r="280" spans="1:17" ht="12.75" customHeight="1" x14ac:dyDescent="0.2">
      <c r="A280" s="145" t="s">
        <v>280</v>
      </c>
      <c r="B280" s="146"/>
      <c r="C280" s="146"/>
      <c r="D280" s="147"/>
      <c r="E280" s="6"/>
      <c r="F280" s="42">
        <f>IF($N$283=0,0,E280/$N$283)</f>
        <v>0</v>
      </c>
      <c r="G280" s="79" t="str">
        <f t="shared" si="83"/>
        <v/>
      </c>
      <c r="H280" s="53"/>
      <c r="I280" s="145" t="s">
        <v>298</v>
      </c>
      <c r="J280" s="261"/>
      <c r="K280" s="261"/>
      <c r="L280" s="261"/>
      <c r="M280" s="262"/>
      <c r="N280" s="7"/>
      <c r="O280" s="42">
        <f t="shared" si="82"/>
        <v>0</v>
      </c>
      <c r="P280" s="79" t="str">
        <f t="shared" si="84"/>
        <v/>
      </c>
    </row>
    <row r="281" spans="1:17" ht="12.75" customHeight="1" x14ac:dyDescent="0.2">
      <c r="A281" s="145" t="s">
        <v>281</v>
      </c>
      <c r="B281" s="146"/>
      <c r="C281" s="146"/>
      <c r="D281" s="147"/>
      <c r="E281" s="6"/>
      <c r="F281" s="42">
        <f>IF($N$283=0,0,E281/$N$283)</f>
        <v>0</v>
      </c>
      <c r="G281" s="79" t="str">
        <f t="shared" si="83"/>
        <v/>
      </c>
      <c r="H281" s="53"/>
      <c r="I281" s="145" t="s">
        <v>300</v>
      </c>
      <c r="J281" s="261"/>
      <c r="K281" s="261"/>
      <c r="L281" s="261"/>
      <c r="M281" s="262"/>
      <c r="N281" s="7"/>
      <c r="O281" s="42">
        <f t="shared" si="82"/>
        <v>0</v>
      </c>
      <c r="P281" s="79" t="str">
        <f t="shared" si="84"/>
        <v/>
      </c>
    </row>
    <row r="282" spans="1:17" x14ac:dyDescent="0.2">
      <c r="I282" s="145" t="s">
        <v>303</v>
      </c>
      <c r="J282" s="146"/>
      <c r="K282" s="146"/>
      <c r="L282" s="146"/>
      <c r="M282" s="147"/>
      <c r="N282" s="7"/>
      <c r="O282" s="42">
        <f t="shared" si="82"/>
        <v>0</v>
      </c>
      <c r="P282" s="79" t="str">
        <f t="shared" si="84"/>
        <v/>
      </c>
    </row>
    <row r="283" spans="1:17" x14ac:dyDescent="0.2">
      <c r="A283" s="73" t="s">
        <v>313</v>
      </c>
      <c r="B283" s="53"/>
      <c r="C283" s="53"/>
      <c r="D283" s="53"/>
      <c r="E283" s="53"/>
      <c r="F283" s="31"/>
      <c r="G283" s="53"/>
      <c r="I283" s="286" t="s">
        <v>16</v>
      </c>
      <c r="J283" s="287"/>
      <c r="K283" s="287"/>
      <c r="L283" s="287"/>
      <c r="M283" s="288"/>
      <c r="N283" s="83">
        <f>$O$41</f>
        <v>0</v>
      </c>
      <c r="O283" s="43">
        <f t="shared" si="82"/>
        <v>0</v>
      </c>
      <c r="P283" s="72">
        <f>SUM(G278:G281,P278:P282)</f>
        <v>0</v>
      </c>
    </row>
    <row r="284" spans="1:17" x14ac:dyDescent="0.2">
      <c r="A284" s="31"/>
      <c r="B284" s="53"/>
      <c r="C284" s="53"/>
      <c r="D284" s="53"/>
      <c r="E284" s="53"/>
      <c r="F284" s="53"/>
      <c r="G284" s="53"/>
      <c r="I284" s="31"/>
      <c r="J284" s="53"/>
      <c r="K284" s="53"/>
    </row>
    <row r="285" spans="1:17" x14ac:dyDescent="0.2">
      <c r="A285" s="24" t="s">
        <v>404</v>
      </c>
      <c r="D285" s="53"/>
      <c r="E285" s="53"/>
      <c r="F285" s="53"/>
      <c r="G285" s="53"/>
      <c r="H285" s="53"/>
      <c r="I285" s="37"/>
      <c r="J285" s="53"/>
      <c r="K285" s="53"/>
    </row>
    <row r="286" spans="1:17" x14ac:dyDescent="0.2">
      <c r="A286" s="37" t="str">
        <f>IF(SUM(E288:E290)=E291,"","Anzahl der Einträge in E286 - E288 ergibt nicht die Gesamtfallzahl dieser Tabelle")</f>
        <v/>
      </c>
      <c r="B286" s="25"/>
      <c r="C286" s="25"/>
      <c r="D286" s="25"/>
      <c r="E286" s="25"/>
      <c r="F286" s="25"/>
      <c r="G286" s="25"/>
      <c r="H286" s="25"/>
      <c r="I286" s="37" t="str">
        <f>IF(P330=0,"","Keine Weitervermittlung  darf die Zahl aus E287 überschreiten")</f>
        <v/>
      </c>
      <c r="K286" s="82"/>
      <c r="P286" s="25"/>
    </row>
    <row r="287" spans="1:17" ht="15" customHeight="1" x14ac:dyDescent="0.2">
      <c r="A287" s="160" t="s">
        <v>27</v>
      </c>
      <c r="B287" s="161"/>
      <c r="C287" s="161"/>
      <c r="D287" s="162"/>
      <c r="E287" s="40" t="s">
        <v>15</v>
      </c>
      <c r="F287" s="40" t="s">
        <v>17</v>
      </c>
      <c r="G287" s="40" t="s">
        <v>49</v>
      </c>
      <c r="H287" s="87" t="s">
        <v>156</v>
      </c>
      <c r="I287" s="257" t="s">
        <v>134</v>
      </c>
      <c r="J287" s="247"/>
      <c r="K287" s="247"/>
      <c r="L287" s="247"/>
      <c r="M287" s="223"/>
      <c r="N287" s="40" t="s">
        <v>15</v>
      </c>
      <c r="O287" s="40" t="s">
        <v>17</v>
      </c>
    </row>
    <row r="288" spans="1:17" ht="13.5" customHeight="1" x14ac:dyDescent="0.2">
      <c r="A288" s="145" t="s">
        <v>101</v>
      </c>
      <c r="B288" s="146"/>
      <c r="C288" s="146"/>
      <c r="D288" s="147"/>
      <c r="E288" s="6"/>
      <c r="F288" s="42">
        <f>IF($E$291=0,0,E288/$E$291)</f>
        <v>0</v>
      </c>
      <c r="G288" s="42">
        <f>IF(($E$291-$E$290)=0,0,E288/($E$291-$E$290))</f>
        <v>0</v>
      </c>
      <c r="I288" s="145" t="s">
        <v>272</v>
      </c>
      <c r="J288" s="261"/>
      <c r="K288" s="261"/>
      <c r="L288" s="261"/>
      <c r="M288" s="262"/>
      <c r="N288" s="6"/>
      <c r="O288" s="42">
        <f t="shared" ref="O288:O330" si="85">IF(N$330=0,0,N288/N$330)</f>
        <v>0</v>
      </c>
      <c r="P288" s="79" t="str">
        <f t="shared" ref="P288:P313" si="86">IF(N288&gt;N$330,1," ")</f>
        <v xml:space="preserve"> </v>
      </c>
      <c r="Q288" s="53"/>
    </row>
    <row r="289" spans="1:16" ht="13.5" thickBot="1" x14ac:dyDescent="0.25">
      <c r="A289" s="148" t="s">
        <v>100</v>
      </c>
      <c r="B289" s="149"/>
      <c r="C289" s="149"/>
      <c r="D289" s="150"/>
      <c r="E289" s="13"/>
      <c r="F289" s="47">
        <f>IF($E$291=0,0,E289/$E$291)</f>
        <v>0</v>
      </c>
      <c r="G289" s="47">
        <f>IF(($E$291-$E$290)=0,0,E289/($E$291-$E$290))</f>
        <v>0</v>
      </c>
      <c r="I289" s="145" t="s">
        <v>350</v>
      </c>
      <c r="J289" s="261"/>
      <c r="K289" s="261"/>
      <c r="L289" s="261"/>
      <c r="M289" s="262"/>
      <c r="N289" s="6"/>
      <c r="O289" s="42">
        <f t="shared" si="85"/>
        <v>0</v>
      </c>
      <c r="P289" s="79" t="str">
        <f t="shared" si="86"/>
        <v xml:space="preserve"> </v>
      </c>
    </row>
    <row r="290" spans="1:16" ht="13.5" thickTop="1" x14ac:dyDescent="0.2">
      <c r="A290" s="151" t="s">
        <v>61</v>
      </c>
      <c r="B290" s="152"/>
      <c r="C290" s="152"/>
      <c r="D290" s="153"/>
      <c r="E290" s="6"/>
      <c r="F290" s="48">
        <f>IF($E$291=0,0,E290/$E$291)</f>
        <v>0</v>
      </c>
      <c r="G290" s="49"/>
      <c r="I290" s="145" t="s">
        <v>273</v>
      </c>
      <c r="J290" s="261"/>
      <c r="K290" s="261"/>
      <c r="L290" s="261"/>
      <c r="M290" s="262"/>
      <c r="N290" s="6"/>
      <c r="O290" s="42">
        <f t="shared" si="85"/>
        <v>0</v>
      </c>
      <c r="P290" s="79" t="str">
        <f t="shared" si="86"/>
        <v xml:space="preserve"> </v>
      </c>
    </row>
    <row r="291" spans="1:16" x14ac:dyDescent="0.2">
      <c r="A291" s="160" t="s">
        <v>16</v>
      </c>
      <c r="B291" s="161"/>
      <c r="C291" s="161"/>
      <c r="D291" s="162"/>
      <c r="E291" s="83">
        <f>$O$40</f>
        <v>0</v>
      </c>
      <c r="F291" s="43">
        <f>IF($E$291=0,0,E291/$E$291)</f>
        <v>0</v>
      </c>
      <c r="G291" s="43"/>
      <c r="I291" s="145" t="s">
        <v>274</v>
      </c>
      <c r="J291" s="261"/>
      <c r="K291" s="261"/>
      <c r="L291" s="261"/>
      <c r="M291" s="262"/>
      <c r="N291" s="6"/>
      <c r="O291" s="42">
        <f t="shared" si="85"/>
        <v>0</v>
      </c>
      <c r="P291" s="79" t="str">
        <f t="shared" si="86"/>
        <v xml:space="preserve"> </v>
      </c>
    </row>
    <row r="292" spans="1:16" x14ac:dyDescent="0.2">
      <c r="I292" s="145" t="s">
        <v>275</v>
      </c>
      <c r="J292" s="261"/>
      <c r="K292" s="261"/>
      <c r="L292" s="261"/>
      <c r="M292" s="262"/>
      <c r="N292" s="6"/>
      <c r="O292" s="42">
        <f t="shared" si="85"/>
        <v>0</v>
      </c>
      <c r="P292" s="79" t="str">
        <f t="shared" si="86"/>
        <v xml:space="preserve"> </v>
      </c>
    </row>
    <row r="293" spans="1:16" x14ac:dyDescent="0.2">
      <c r="A293" s="37" t="str">
        <f>IF(SUM(E295:E303)=E304,"","Anzahl der Einträge in E293 - E301  ergibt nicht die Gesamtfallzahl dieser Tabelle")</f>
        <v/>
      </c>
      <c r="I293" s="145" t="s">
        <v>276</v>
      </c>
      <c r="J293" s="261"/>
      <c r="K293" s="261"/>
      <c r="L293" s="261"/>
      <c r="M293" s="262"/>
      <c r="N293" s="6"/>
      <c r="O293" s="42">
        <f t="shared" si="85"/>
        <v>0</v>
      </c>
      <c r="P293" s="79" t="str">
        <f t="shared" si="86"/>
        <v xml:space="preserve"> </v>
      </c>
    </row>
    <row r="294" spans="1:16" ht="12.75" customHeight="1" x14ac:dyDescent="0.2">
      <c r="A294" s="160" t="s">
        <v>26</v>
      </c>
      <c r="B294" s="161"/>
      <c r="C294" s="161"/>
      <c r="D294" s="162"/>
      <c r="E294" s="40" t="s">
        <v>15</v>
      </c>
      <c r="F294" s="40" t="s">
        <v>17</v>
      </c>
      <c r="G294" s="40" t="s">
        <v>49</v>
      </c>
      <c r="I294" s="145" t="s">
        <v>322</v>
      </c>
      <c r="J294" s="261"/>
      <c r="K294" s="261"/>
      <c r="L294" s="261"/>
      <c r="M294" s="262"/>
      <c r="N294" s="6"/>
      <c r="O294" s="42">
        <f t="shared" si="85"/>
        <v>0</v>
      </c>
      <c r="P294" s="79" t="str">
        <f t="shared" si="86"/>
        <v xml:space="preserve"> </v>
      </c>
    </row>
    <row r="295" spans="1:16" ht="12.75" customHeight="1" x14ac:dyDescent="0.2">
      <c r="A295" s="145" t="s">
        <v>314</v>
      </c>
      <c r="B295" s="146"/>
      <c r="C295" s="146"/>
      <c r="D295" s="147"/>
      <c r="E295" s="6"/>
      <c r="F295" s="42">
        <f t="shared" ref="F295:F304" si="87">IF($E$304=0,0,E295/$E$304)</f>
        <v>0</v>
      </c>
      <c r="G295" s="42">
        <f>IF(($E$304-$E$303)=0,0,E295/($E$304-$E$303))</f>
        <v>0</v>
      </c>
      <c r="I295" s="145" t="s">
        <v>278</v>
      </c>
      <c r="J295" s="261"/>
      <c r="K295" s="261"/>
      <c r="L295" s="261"/>
      <c r="M295" s="262"/>
      <c r="N295" s="6"/>
      <c r="O295" s="42">
        <f t="shared" si="85"/>
        <v>0</v>
      </c>
      <c r="P295" s="79" t="str">
        <f t="shared" si="86"/>
        <v xml:space="preserve"> </v>
      </c>
    </row>
    <row r="296" spans="1:16" ht="12.75" customHeight="1" x14ac:dyDescent="0.2">
      <c r="A296" s="145" t="s">
        <v>315</v>
      </c>
      <c r="B296" s="146"/>
      <c r="C296" s="146"/>
      <c r="D296" s="147"/>
      <c r="E296" s="6"/>
      <c r="F296" s="42">
        <f t="shared" si="87"/>
        <v>0</v>
      </c>
      <c r="G296" s="42">
        <f t="shared" ref="G296:G301" si="88">IF(($E$304-$E$303)=0,0,E296/($E$304-$E$303))</f>
        <v>0</v>
      </c>
      <c r="I296" s="145" t="s">
        <v>279</v>
      </c>
      <c r="J296" s="261"/>
      <c r="K296" s="261"/>
      <c r="L296" s="261"/>
      <c r="M296" s="262"/>
      <c r="N296" s="6"/>
      <c r="O296" s="42">
        <f t="shared" si="85"/>
        <v>0</v>
      </c>
      <c r="P296" s="79" t="str">
        <f t="shared" si="86"/>
        <v xml:space="preserve"> </v>
      </c>
    </row>
    <row r="297" spans="1:16" ht="12.75" customHeight="1" x14ac:dyDescent="0.2">
      <c r="A297" s="145" t="s">
        <v>316</v>
      </c>
      <c r="B297" s="146"/>
      <c r="C297" s="146"/>
      <c r="D297" s="147"/>
      <c r="E297" s="6"/>
      <c r="F297" s="42">
        <f t="shared" si="87"/>
        <v>0</v>
      </c>
      <c r="G297" s="42">
        <f t="shared" si="88"/>
        <v>0</v>
      </c>
      <c r="I297" s="145" t="s">
        <v>280</v>
      </c>
      <c r="J297" s="261"/>
      <c r="K297" s="261"/>
      <c r="L297" s="261"/>
      <c r="M297" s="262"/>
      <c r="N297" s="6"/>
      <c r="O297" s="42">
        <f t="shared" si="85"/>
        <v>0</v>
      </c>
      <c r="P297" s="79" t="str">
        <f t="shared" si="86"/>
        <v xml:space="preserve"> </v>
      </c>
    </row>
    <row r="298" spans="1:16" x14ac:dyDescent="0.2">
      <c r="A298" s="145" t="s">
        <v>318</v>
      </c>
      <c r="B298" s="146"/>
      <c r="C298" s="146"/>
      <c r="D298" s="147"/>
      <c r="E298" s="6"/>
      <c r="F298" s="42">
        <f t="shared" si="87"/>
        <v>0</v>
      </c>
      <c r="G298" s="42">
        <f t="shared" si="88"/>
        <v>0</v>
      </c>
      <c r="I298" s="145" t="s">
        <v>281</v>
      </c>
      <c r="J298" s="261"/>
      <c r="K298" s="261"/>
      <c r="L298" s="261"/>
      <c r="M298" s="262"/>
      <c r="N298" s="6"/>
      <c r="O298" s="42">
        <f t="shared" si="85"/>
        <v>0</v>
      </c>
      <c r="P298" s="79" t="str">
        <f t="shared" si="86"/>
        <v xml:space="preserve"> </v>
      </c>
    </row>
    <row r="299" spans="1:16" x14ac:dyDescent="0.2">
      <c r="A299" s="145" t="s">
        <v>317</v>
      </c>
      <c r="B299" s="146"/>
      <c r="C299" s="146"/>
      <c r="D299" s="147"/>
      <c r="E299" s="6"/>
      <c r="F299" s="42">
        <f t="shared" si="87"/>
        <v>0</v>
      </c>
      <c r="G299" s="42">
        <f t="shared" si="88"/>
        <v>0</v>
      </c>
      <c r="I299" s="145" t="s">
        <v>282</v>
      </c>
      <c r="J299" s="261"/>
      <c r="K299" s="261"/>
      <c r="L299" s="261"/>
      <c r="M299" s="262"/>
      <c r="N299" s="6"/>
      <c r="O299" s="42">
        <f t="shared" si="85"/>
        <v>0</v>
      </c>
      <c r="P299" s="79" t="str">
        <f t="shared" si="86"/>
        <v xml:space="preserve"> </v>
      </c>
    </row>
    <row r="300" spans="1:16" ht="12.75" customHeight="1" x14ac:dyDescent="0.2">
      <c r="A300" s="145" t="s">
        <v>320</v>
      </c>
      <c r="B300" s="146"/>
      <c r="C300" s="146"/>
      <c r="D300" s="147"/>
      <c r="E300" s="6"/>
      <c r="F300" s="42">
        <f t="shared" si="87"/>
        <v>0</v>
      </c>
      <c r="G300" s="42">
        <f t="shared" si="88"/>
        <v>0</v>
      </c>
      <c r="I300" s="145" t="s">
        <v>283</v>
      </c>
      <c r="J300" s="261"/>
      <c r="K300" s="261"/>
      <c r="L300" s="261"/>
      <c r="M300" s="262"/>
      <c r="N300" s="6"/>
      <c r="O300" s="42">
        <f t="shared" si="85"/>
        <v>0</v>
      </c>
      <c r="P300" s="79" t="str">
        <f t="shared" si="86"/>
        <v xml:space="preserve"> </v>
      </c>
    </row>
    <row r="301" spans="1:16" ht="12.75" customHeight="1" x14ac:dyDescent="0.2">
      <c r="A301" s="145" t="s">
        <v>319</v>
      </c>
      <c r="B301" s="146"/>
      <c r="C301" s="146"/>
      <c r="D301" s="147"/>
      <c r="E301" s="6"/>
      <c r="F301" s="42">
        <f t="shared" si="87"/>
        <v>0</v>
      </c>
      <c r="G301" s="42">
        <f t="shared" si="88"/>
        <v>0</v>
      </c>
      <c r="I301" s="145" t="s">
        <v>284</v>
      </c>
      <c r="J301" s="261"/>
      <c r="K301" s="261"/>
      <c r="L301" s="261"/>
      <c r="M301" s="262"/>
      <c r="N301" s="6"/>
      <c r="O301" s="42">
        <f t="shared" si="85"/>
        <v>0</v>
      </c>
      <c r="P301" s="79" t="str">
        <f t="shared" si="86"/>
        <v xml:space="preserve"> </v>
      </c>
    </row>
    <row r="302" spans="1:16" ht="13.5" thickBot="1" x14ac:dyDescent="0.25">
      <c r="A302" s="148" t="s">
        <v>28</v>
      </c>
      <c r="B302" s="149"/>
      <c r="C302" s="149"/>
      <c r="D302" s="150"/>
      <c r="E302" s="13"/>
      <c r="F302" s="47">
        <f t="shared" si="87"/>
        <v>0</v>
      </c>
      <c r="G302" s="47">
        <f>IF(($E$304-$E$303)=0,0,E302/($E$304-$E$303))</f>
        <v>0</v>
      </c>
      <c r="I302" s="145" t="s">
        <v>285</v>
      </c>
      <c r="J302" s="261"/>
      <c r="K302" s="261"/>
      <c r="L302" s="261"/>
      <c r="M302" s="262"/>
      <c r="N302" s="6"/>
      <c r="O302" s="42">
        <f t="shared" si="85"/>
        <v>0</v>
      </c>
      <c r="P302" s="79" t="str">
        <f t="shared" si="86"/>
        <v xml:space="preserve"> </v>
      </c>
    </row>
    <row r="303" spans="1:16" ht="13.5" thickTop="1" x14ac:dyDescent="0.2">
      <c r="A303" s="151" t="s">
        <v>61</v>
      </c>
      <c r="B303" s="152"/>
      <c r="C303" s="152"/>
      <c r="D303" s="153"/>
      <c r="E303" s="6"/>
      <c r="F303" s="48">
        <f t="shared" si="87"/>
        <v>0</v>
      </c>
      <c r="G303" s="49">
        <f t="shared" ref="G303" si="89">IF(($E$304-$E$302)=0,0,E303/($E$304-$E$302))</f>
        <v>0</v>
      </c>
      <c r="I303" s="145" t="s">
        <v>286</v>
      </c>
      <c r="J303" s="261"/>
      <c r="K303" s="261"/>
      <c r="L303" s="261"/>
      <c r="M303" s="262"/>
      <c r="N303" s="6"/>
      <c r="O303" s="42">
        <f t="shared" si="85"/>
        <v>0</v>
      </c>
      <c r="P303" s="79" t="str">
        <f t="shared" si="86"/>
        <v xml:space="preserve"> </v>
      </c>
    </row>
    <row r="304" spans="1:16" x14ac:dyDescent="0.2">
      <c r="A304" s="160" t="s">
        <v>16</v>
      </c>
      <c r="B304" s="161"/>
      <c r="C304" s="161"/>
      <c r="D304" s="162"/>
      <c r="E304" s="83">
        <f>$O$40</f>
        <v>0</v>
      </c>
      <c r="F304" s="43">
        <f t="shared" si="87"/>
        <v>0</v>
      </c>
      <c r="G304" s="43"/>
      <c r="H304" s="53"/>
      <c r="I304" s="145" t="s">
        <v>287</v>
      </c>
      <c r="J304" s="261"/>
      <c r="K304" s="261"/>
      <c r="L304" s="261"/>
      <c r="M304" s="262"/>
      <c r="N304" s="6"/>
      <c r="O304" s="42">
        <f t="shared" si="85"/>
        <v>0</v>
      </c>
      <c r="P304" s="79" t="str">
        <f t="shared" si="86"/>
        <v xml:space="preserve"> </v>
      </c>
    </row>
    <row r="305" spans="1:16" x14ac:dyDescent="0.2">
      <c r="A305" s="53"/>
      <c r="B305" s="53"/>
      <c r="C305" s="53"/>
      <c r="D305" s="53"/>
      <c r="E305" s="53"/>
      <c r="F305" s="53"/>
      <c r="G305" s="53"/>
      <c r="H305" s="53"/>
      <c r="I305" s="145" t="s">
        <v>288</v>
      </c>
      <c r="J305" s="261"/>
      <c r="K305" s="261"/>
      <c r="L305" s="261"/>
      <c r="M305" s="262"/>
      <c r="N305" s="6"/>
      <c r="O305" s="42">
        <f t="shared" si="85"/>
        <v>0</v>
      </c>
      <c r="P305" s="79" t="str">
        <f t="shared" si="86"/>
        <v xml:space="preserve"> </v>
      </c>
    </row>
    <row r="306" spans="1:16" ht="12.75" customHeight="1" x14ac:dyDescent="0.2">
      <c r="A306" s="37" t="str">
        <f>IF(SUM(E308:E312)=E313,"","Anzahl der Einträge in E306 - E310  ergibt nicht die Gesamtfallzahl dieser Tabelle")</f>
        <v/>
      </c>
      <c r="H306" s="25"/>
      <c r="I306" s="145" t="s">
        <v>289</v>
      </c>
      <c r="J306" s="261"/>
      <c r="K306" s="261"/>
      <c r="L306" s="261"/>
      <c r="M306" s="262"/>
      <c r="N306" s="6"/>
      <c r="O306" s="42">
        <f t="shared" si="85"/>
        <v>0</v>
      </c>
      <c r="P306" s="79" t="str">
        <f t="shared" si="86"/>
        <v xml:space="preserve"> </v>
      </c>
    </row>
    <row r="307" spans="1:16" ht="12.75" customHeight="1" x14ac:dyDescent="0.2">
      <c r="A307" s="160" t="s">
        <v>321</v>
      </c>
      <c r="B307" s="161"/>
      <c r="C307" s="161"/>
      <c r="D307" s="162"/>
      <c r="E307" s="41" t="s">
        <v>15</v>
      </c>
      <c r="F307" s="41" t="s">
        <v>17</v>
      </c>
      <c r="G307" s="41" t="s">
        <v>49</v>
      </c>
      <c r="H307" s="88"/>
      <c r="I307" s="145" t="s">
        <v>291</v>
      </c>
      <c r="J307" s="261"/>
      <c r="K307" s="261"/>
      <c r="L307" s="261"/>
      <c r="M307" s="262"/>
      <c r="N307" s="6"/>
      <c r="O307" s="42">
        <f t="shared" si="85"/>
        <v>0</v>
      </c>
      <c r="P307" s="72" t="str">
        <f t="shared" si="86"/>
        <v xml:space="preserve"> </v>
      </c>
    </row>
    <row r="308" spans="1:16" x14ac:dyDescent="0.2">
      <c r="A308" s="145" t="s">
        <v>18</v>
      </c>
      <c r="B308" s="146"/>
      <c r="C308" s="146"/>
      <c r="D308" s="147"/>
      <c r="E308" s="1"/>
      <c r="F308" s="42">
        <f t="shared" ref="F308:F313" si="90">IF($E$313=0,0,E308/$E$313)</f>
        <v>0</v>
      </c>
      <c r="G308" s="42">
        <f>IF(($E$313-$E$312)=0,0,E308/($E$313-$E$312))</f>
        <v>0</v>
      </c>
      <c r="H308" s="25"/>
      <c r="I308" s="145" t="s">
        <v>292</v>
      </c>
      <c r="J308" s="261"/>
      <c r="K308" s="261"/>
      <c r="L308" s="261"/>
      <c r="M308" s="262"/>
      <c r="N308" s="6"/>
      <c r="O308" s="42">
        <f t="shared" si="85"/>
        <v>0</v>
      </c>
      <c r="P308" s="72" t="str">
        <f t="shared" si="86"/>
        <v xml:space="preserve"> </v>
      </c>
    </row>
    <row r="309" spans="1:16" ht="12.75" customHeight="1" x14ac:dyDescent="0.2">
      <c r="A309" s="145" t="s">
        <v>19</v>
      </c>
      <c r="B309" s="146"/>
      <c r="C309" s="146"/>
      <c r="D309" s="147"/>
      <c r="E309" s="1"/>
      <c r="F309" s="42">
        <f t="shared" si="90"/>
        <v>0</v>
      </c>
      <c r="G309" s="42">
        <f>IF(($E$313-$E$312)=0,0,E309/($E$313-$E$312))</f>
        <v>0</v>
      </c>
      <c r="H309" s="25"/>
      <c r="I309" s="145" t="s">
        <v>293</v>
      </c>
      <c r="J309" s="261"/>
      <c r="K309" s="261"/>
      <c r="L309" s="261"/>
      <c r="M309" s="262"/>
      <c r="N309" s="6"/>
      <c r="O309" s="42">
        <f t="shared" si="85"/>
        <v>0</v>
      </c>
      <c r="P309" s="72" t="str">
        <f t="shared" si="86"/>
        <v xml:space="preserve"> </v>
      </c>
    </row>
    <row r="310" spans="1:16" ht="13.5" customHeight="1" x14ac:dyDescent="0.2">
      <c r="A310" s="145" t="s">
        <v>20</v>
      </c>
      <c r="B310" s="146"/>
      <c r="C310" s="146"/>
      <c r="D310" s="147"/>
      <c r="E310" s="1"/>
      <c r="F310" s="42">
        <f t="shared" si="90"/>
        <v>0</v>
      </c>
      <c r="G310" s="42">
        <f>IF(($E$313-$E$312)=0,0,E310/($E$313-$E$312))</f>
        <v>0</v>
      </c>
      <c r="H310" s="25"/>
      <c r="I310" s="145" t="s">
        <v>294</v>
      </c>
      <c r="J310" s="261"/>
      <c r="K310" s="261"/>
      <c r="L310" s="261"/>
      <c r="M310" s="262"/>
      <c r="N310" s="6"/>
      <c r="O310" s="42">
        <f t="shared" si="85"/>
        <v>0</v>
      </c>
      <c r="P310" s="72" t="str">
        <f t="shared" si="86"/>
        <v xml:space="preserve"> </v>
      </c>
    </row>
    <row r="311" spans="1:16" ht="12.75" customHeight="1" thickBot="1" x14ac:dyDescent="0.25">
      <c r="A311" s="148" t="s">
        <v>21</v>
      </c>
      <c r="B311" s="149"/>
      <c r="C311" s="149"/>
      <c r="D311" s="150"/>
      <c r="E311" s="16"/>
      <c r="F311" s="47">
        <f t="shared" si="90"/>
        <v>0</v>
      </c>
      <c r="G311" s="47">
        <f>IF(($E$313-$E$312)=0,0,E311/($E$313-$E$312))</f>
        <v>0</v>
      </c>
      <c r="H311" s="25"/>
      <c r="I311" s="145" t="s">
        <v>295</v>
      </c>
      <c r="J311" s="261"/>
      <c r="K311" s="261"/>
      <c r="L311" s="261"/>
      <c r="M311" s="262"/>
      <c r="N311" s="6"/>
      <c r="O311" s="42">
        <f t="shared" si="85"/>
        <v>0</v>
      </c>
      <c r="P311" s="72" t="str">
        <f t="shared" si="86"/>
        <v xml:space="preserve"> </v>
      </c>
    </row>
    <row r="312" spans="1:16" ht="13.5" thickTop="1" x14ac:dyDescent="0.2">
      <c r="A312" s="151" t="s">
        <v>61</v>
      </c>
      <c r="B312" s="152"/>
      <c r="C312" s="152"/>
      <c r="D312" s="153"/>
      <c r="E312" s="15"/>
      <c r="F312" s="48">
        <f t="shared" si="90"/>
        <v>0</v>
      </c>
      <c r="G312" s="49">
        <f>IF(($E$313-$E$312)=0,0,E312/($E$313-$E$312))</f>
        <v>0</v>
      </c>
      <c r="H312" s="25"/>
      <c r="I312" s="145" t="s">
        <v>296</v>
      </c>
      <c r="J312" s="261"/>
      <c r="K312" s="261"/>
      <c r="L312" s="261"/>
      <c r="M312" s="262"/>
      <c r="N312" s="6"/>
      <c r="O312" s="42">
        <f t="shared" si="85"/>
        <v>0</v>
      </c>
      <c r="P312" s="72" t="str">
        <f t="shared" si="86"/>
        <v xml:space="preserve"> </v>
      </c>
    </row>
    <row r="313" spans="1:16" x14ac:dyDescent="0.2">
      <c r="A313" s="169" t="s">
        <v>36</v>
      </c>
      <c r="B313" s="170"/>
      <c r="C313" s="170"/>
      <c r="D313" s="171"/>
      <c r="E313" s="83">
        <f>$O$40</f>
        <v>0</v>
      </c>
      <c r="F313" s="43">
        <f t="shared" si="90"/>
        <v>0</v>
      </c>
      <c r="G313" s="43"/>
      <c r="H313" s="25"/>
      <c r="I313" s="145" t="s">
        <v>297</v>
      </c>
      <c r="J313" s="261"/>
      <c r="K313" s="261"/>
      <c r="L313" s="261"/>
      <c r="M313" s="262"/>
      <c r="N313" s="6"/>
      <c r="O313" s="42">
        <f t="shared" si="85"/>
        <v>0</v>
      </c>
      <c r="P313" s="72" t="str">
        <f t="shared" si="86"/>
        <v xml:space="preserve"> </v>
      </c>
    </row>
    <row r="314" spans="1:16" x14ac:dyDescent="0.2">
      <c r="A314" s="31" t="s">
        <v>90</v>
      </c>
      <c r="D314" s="53"/>
      <c r="E314" s="53"/>
      <c r="F314" s="53"/>
      <c r="G314" s="53"/>
      <c r="H314" s="25"/>
      <c r="I314" s="145" t="s">
        <v>298</v>
      </c>
      <c r="J314" s="261"/>
      <c r="K314" s="261"/>
      <c r="L314" s="261"/>
      <c r="M314" s="262"/>
      <c r="N314" s="6"/>
      <c r="O314" s="42">
        <f t="shared" si="85"/>
        <v>0</v>
      </c>
      <c r="P314" s="79" t="str">
        <f t="shared" ref="P314:P329" si="91">IF(N314&gt;N$330,1," ")</f>
        <v xml:space="preserve"> </v>
      </c>
    </row>
    <row r="315" spans="1:16" x14ac:dyDescent="0.2">
      <c r="A315" s="37"/>
      <c r="D315" s="53"/>
      <c r="E315" s="53"/>
      <c r="F315" s="53"/>
      <c r="G315" s="53"/>
      <c r="I315" s="145" t="s">
        <v>299</v>
      </c>
      <c r="J315" s="261"/>
      <c r="K315" s="261"/>
      <c r="L315" s="261"/>
      <c r="M315" s="262"/>
      <c r="N315" s="6"/>
      <c r="O315" s="42">
        <f t="shared" si="85"/>
        <v>0</v>
      </c>
      <c r="P315" s="79" t="str">
        <f t="shared" si="91"/>
        <v xml:space="preserve"> </v>
      </c>
    </row>
    <row r="316" spans="1:16" x14ac:dyDescent="0.2">
      <c r="A316" s="37" t="str">
        <f>IF(SUM(E318:E322)=E323,"","Anzahl der Einzelmonate ergibt nicht die Gesamtfallzahl dieser Tabelle")</f>
        <v/>
      </c>
      <c r="G316" s="25"/>
      <c r="H316" s="37"/>
      <c r="I316" s="145" t="s">
        <v>300</v>
      </c>
      <c r="J316" s="261"/>
      <c r="K316" s="261"/>
      <c r="L316" s="261"/>
      <c r="M316" s="262"/>
      <c r="N316" s="6"/>
      <c r="O316" s="42">
        <f t="shared" si="85"/>
        <v>0</v>
      </c>
      <c r="P316" s="79" t="str">
        <f t="shared" si="91"/>
        <v xml:space="preserve"> </v>
      </c>
    </row>
    <row r="317" spans="1:16" ht="12.75" customHeight="1" x14ac:dyDescent="0.2">
      <c r="A317" s="160" t="s">
        <v>102</v>
      </c>
      <c r="B317" s="161"/>
      <c r="C317" s="161"/>
      <c r="D317" s="162"/>
      <c r="E317" s="40" t="s">
        <v>15</v>
      </c>
      <c r="F317" s="40" t="s">
        <v>17</v>
      </c>
      <c r="G317" s="25"/>
      <c r="I317" s="145" t="s">
        <v>301</v>
      </c>
      <c r="J317" s="261"/>
      <c r="K317" s="261"/>
      <c r="L317" s="261"/>
      <c r="M317" s="262"/>
      <c r="N317" s="6"/>
      <c r="O317" s="42">
        <f t="shared" si="85"/>
        <v>0</v>
      </c>
      <c r="P317" s="79" t="str">
        <f t="shared" si="91"/>
        <v xml:space="preserve"> </v>
      </c>
    </row>
    <row r="318" spans="1:16" x14ac:dyDescent="0.2">
      <c r="A318" s="145" t="s">
        <v>22</v>
      </c>
      <c r="B318" s="146"/>
      <c r="C318" s="146"/>
      <c r="D318" s="147"/>
      <c r="E318" s="12"/>
      <c r="F318" s="42">
        <f t="shared" ref="F318:F323" si="92">IF($E$323=0,0,E318/$E$323)</f>
        <v>0</v>
      </c>
      <c r="G318" s="25"/>
      <c r="I318" s="145" t="s">
        <v>302</v>
      </c>
      <c r="J318" s="261"/>
      <c r="K318" s="261"/>
      <c r="L318" s="261"/>
      <c r="M318" s="262"/>
      <c r="N318" s="6"/>
      <c r="O318" s="42">
        <f t="shared" si="85"/>
        <v>0</v>
      </c>
      <c r="P318" s="79" t="str">
        <f t="shared" si="91"/>
        <v xml:space="preserve"> </v>
      </c>
    </row>
    <row r="319" spans="1:16" ht="12.75" customHeight="1" x14ac:dyDescent="0.2">
      <c r="A319" s="145" t="s">
        <v>86</v>
      </c>
      <c r="B319" s="146"/>
      <c r="C319" s="146"/>
      <c r="D319" s="147"/>
      <c r="E319" s="12"/>
      <c r="F319" s="42">
        <f t="shared" si="92"/>
        <v>0</v>
      </c>
      <c r="G319" s="25"/>
      <c r="I319" s="145" t="s">
        <v>303</v>
      </c>
      <c r="J319" s="261"/>
      <c r="K319" s="261"/>
      <c r="L319" s="261"/>
      <c r="M319" s="262"/>
      <c r="N319" s="6"/>
      <c r="O319" s="42">
        <f t="shared" si="85"/>
        <v>0</v>
      </c>
      <c r="P319" s="79" t="str">
        <f t="shared" si="91"/>
        <v xml:space="preserve"> </v>
      </c>
    </row>
    <row r="320" spans="1:16" x14ac:dyDescent="0.2">
      <c r="A320" s="145" t="s">
        <v>87</v>
      </c>
      <c r="B320" s="146"/>
      <c r="C320" s="146"/>
      <c r="D320" s="147"/>
      <c r="E320" s="12"/>
      <c r="F320" s="42">
        <f t="shared" si="92"/>
        <v>0</v>
      </c>
      <c r="G320" s="25"/>
      <c r="I320" s="145" t="s">
        <v>304</v>
      </c>
      <c r="J320" s="261"/>
      <c r="K320" s="261"/>
      <c r="L320" s="261"/>
      <c r="M320" s="262"/>
      <c r="N320" s="6"/>
      <c r="O320" s="42">
        <f t="shared" si="85"/>
        <v>0</v>
      </c>
      <c r="P320" s="79" t="str">
        <f t="shared" si="91"/>
        <v xml:space="preserve"> </v>
      </c>
    </row>
    <row r="321" spans="1:16" x14ac:dyDescent="0.2">
      <c r="A321" s="145" t="s">
        <v>88</v>
      </c>
      <c r="B321" s="146"/>
      <c r="C321" s="146"/>
      <c r="D321" s="147"/>
      <c r="E321" s="12"/>
      <c r="F321" s="42">
        <f t="shared" si="92"/>
        <v>0</v>
      </c>
      <c r="G321" s="25"/>
      <c r="I321" s="145" t="s">
        <v>305</v>
      </c>
      <c r="J321" s="261"/>
      <c r="K321" s="261"/>
      <c r="L321" s="261"/>
      <c r="M321" s="262"/>
      <c r="N321" s="6"/>
      <c r="O321" s="42">
        <f t="shared" si="85"/>
        <v>0</v>
      </c>
      <c r="P321" s="79" t="str">
        <f t="shared" si="91"/>
        <v xml:space="preserve"> </v>
      </c>
    </row>
    <row r="322" spans="1:16" x14ac:dyDescent="0.2">
      <c r="A322" s="145" t="s">
        <v>89</v>
      </c>
      <c r="B322" s="146"/>
      <c r="C322" s="146"/>
      <c r="D322" s="147"/>
      <c r="E322" s="12"/>
      <c r="F322" s="42">
        <f t="shared" si="92"/>
        <v>0</v>
      </c>
      <c r="G322" s="25"/>
      <c r="I322" s="145" t="s">
        <v>306</v>
      </c>
      <c r="J322" s="261"/>
      <c r="K322" s="261"/>
      <c r="L322" s="261"/>
      <c r="M322" s="262"/>
      <c r="N322" s="6"/>
      <c r="O322" s="42">
        <f t="shared" si="85"/>
        <v>0</v>
      </c>
      <c r="P322" s="79" t="str">
        <f t="shared" si="91"/>
        <v xml:space="preserve"> </v>
      </c>
    </row>
    <row r="323" spans="1:16" x14ac:dyDescent="0.2">
      <c r="A323" s="169" t="s">
        <v>36</v>
      </c>
      <c r="B323" s="170"/>
      <c r="C323" s="170"/>
      <c r="D323" s="171"/>
      <c r="E323" s="83">
        <f>$O$40</f>
        <v>0</v>
      </c>
      <c r="F323" s="43">
        <f t="shared" si="92"/>
        <v>0</v>
      </c>
      <c r="G323" s="53"/>
      <c r="H323" s="53"/>
      <c r="I323" s="145" t="s">
        <v>307</v>
      </c>
      <c r="J323" s="261"/>
      <c r="K323" s="261"/>
      <c r="L323" s="261"/>
      <c r="M323" s="262"/>
      <c r="N323" s="6"/>
      <c r="O323" s="42">
        <f t="shared" si="85"/>
        <v>0</v>
      </c>
      <c r="P323" s="79" t="str">
        <f t="shared" si="91"/>
        <v xml:space="preserve"> </v>
      </c>
    </row>
    <row r="324" spans="1:16" x14ac:dyDescent="0.2">
      <c r="A324" s="31" t="s">
        <v>103</v>
      </c>
      <c r="B324" s="53"/>
      <c r="C324" s="53"/>
      <c r="D324" s="53"/>
      <c r="E324" s="53"/>
      <c r="F324" s="53"/>
      <c r="H324" s="53"/>
      <c r="I324" s="145" t="s">
        <v>308</v>
      </c>
      <c r="J324" s="261"/>
      <c r="K324" s="261"/>
      <c r="L324" s="261"/>
      <c r="M324" s="262"/>
      <c r="N324" s="6"/>
      <c r="O324" s="42">
        <f t="shared" si="85"/>
        <v>0</v>
      </c>
      <c r="P324" s="79" t="str">
        <f t="shared" si="91"/>
        <v xml:space="preserve"> </v>
      </c>
    </row>
    <row r="325" spans="1:16" x14ac:dyDescent="0.2">
      <c r="H325" s="25"/>
      <c r="I325" s="145" t="s">
        <v>309</v>
      </c>
      <c r="J325" s="261"/>
      <c r="K325" s="261"/>
      <c r="L325" s="261"/>
      <c r="M325" s="262"/>
      <c r="N325" s="6"/>
      <c r="O325" s="42">
        <f t="shared" si="85"/>
        <v>0</v>
      </c>
      <c r="P325" s="79" t="str">
        <f t="shared" si="91"/>
        <v xml:space="preserve"> </v>
      </c>
    </row>
    <row r="326" spans="1:16" x14ac:dyDescent="0.2">
      <c r="H326" s="25"/>
      <c r="I326" s="145" t="s">
        <v>323</v>
      </c>
      <c r="J326" s="261"/>
      <c r="K326" s="261"/>
      <c r="L326" s="261"/>
      <c r="M326" s="262"/>
      <c r="N326" s="6"/>
      <c r="O326" s="42">
        <f t="shared" si="85"/>
        <v>0</v>
      </c>
      <c r="P326" s="79" t="str">
        <f t="shared" si="91"/>
        <v xml:space="preserve"> </v>
      </c>
    </row>
    <row r="327" spans="1:16" ht="12.75" customHeight="1" x14ac:dyDescent="0.2">
      <c r="H327" s="25"/>
      <c r="I327" s="145" t="s">
        <v>310</v>
      </c>
      <c r="J327" s="261"/>
      <c r="K327" s="261"/>
      <c r="L327" s="261"/>
      <c r="M327" s="262"/>
      <c r="N327" s="6"/>
      <c r="O327" s="42">
        <f t="shared" si="85"/>
        <v>0</v>
      </c>
      <c r="P327" s="79" t="str">
        <f t="shared" si="91"/>
        <v xml:space="preserve"> </v>
      </c>
    </row>
    <row r="328" spans="1:16" x14ac:dyDescent="0.2">
      <c r="H328" s="25"/>
      <c r="I328" s="145" t="s">
        <v>311</v>
      </c>
      <c r="J328" s="261"/>
      <c r="K328" s="261"/>
      <c r="L328" s="261"/>
      <c r="M328" s="262"/>
      <c r="N328" s="6"/>
      <c r="O328" s="42">
        <f t="shared" si="85"/>
        <v>0</v>
      </c>
      <c r="P328" s="79" t="str">
        <f t="shared" si="91"/>
        <v xml:space="preserve"> </v>
      </c>
    </row>
    <row r="329" spans="1:16" x14ac:dyDescent="0.2">
      <c r="H329" s="25"/>
      <c r="I329" s="145" t="s">
        <v>312</v>
      </c>
      <c r="J329" s="261"/>
      <c r="K329" s="261"/>
      <c r="L329" s="261"/>
      <c r="M329" s="262"/>
      <c r="N329" s="6"/>
      <c r="O329" s="42">
        <f t="shared" si="85"/>
        <v>0</v>
      </c>
      <c r="P329" s="79" t="str">
        <f t="shared" si="91"/>
        <v xml:space="preserve"> </v>
      </c>
    </row>
    <row r="330" spans="1:16" x14ac:dyDescent="0.2">
      <c r="H330" s="25"/>
      <c r="I330" s="286" t="s">
        <v>16</v>
      </c>
      <c r="J330" s="287"/>
      <c r="K330" s="287"/>
      <c r="L330" s="287"/>
      <c r="M330" s="288"/>
      <c r="N330" s="83">
        <f>E289</f>
        <v>0</v>
      </c>
      <c r="O330" s="43">
        <f t="shared" si="85"/>
        <v>0</v>
      </c>
      <c r="P330" s="72">
        <f>SUM(P288:P329)</f>
        <v>0</v>
      </c>
    </row>
    <row r="331" spans="1:16" x14ac:dyDescent="0.2">
      <c r="I331" s="31" t="s">
        <v>115</v>
      </c>
      <c r="K331" s="25"/>
      <c r="L331" s="25"/>
      <c r="M331" s="25"/>
    </row>
    <row r="332" spans="1:16" ht="12.75" customHeight="1" x14ac:dyDescent="0.2">
      <c r="A332" s="37" t="str">
        <f>IF(O350=0,"","Summe der Einträge in jeder Zeile darf nicht höher sein als die Gesamtbeenderfallzahl aus Zelle K40")</f>
        <v/>
      </c>
    </row>
    <row r="333" spans="1:16" ht="12.75" customHeight="1" x14ac:dyDescent="0.2">
      <c r="A333" s="185" t="s">
        <v>425</v>
      </c>
      <c r="B333" s="186"/>
      <c r="C333" s="186"/>
      <c r="D333" s="187"/>
      <c r="E333" s="280" t="s">
        <v>359</v>
      </c>
      <c r="F333" s="281"/>
      <c r="G333" s="280" t="s">
        <v>360</v>
      </c>
      <c r="H333" s="294"/>
      <c r="I333" s="280" t="s">
        <v>361</v>
      </c>
      <c r="J333" s="281"/>
      <c r="K333" s="280" t="s">
        <v>362</v>
      </c>
      <c r="L333" s="281"/>
      <c r="M333" s="280" t="s">
        <v>16</v>
      </c>
      <c r="N333" s="281"/>
    </row>
    <row r="334" spans="1:16" ht="12.75" customHeight="1" x14ac:dyDescent="0.2">
      <c r="A334" s="191"/>
      <c r="B334" s="192"/>
      <c r="C334" s="192"/>
      <c r="D334" s="193"/>
      <c r="E334" s="41" t="s">
        <v>15</v>
      </c>
      <c r="F334" s="41" t="s">
        <v>405</v>
      </c>
      <c r="G334" s="41" t="s">
        <v>15</v>
      </c>
      <c r="H334" s="41" t="s">
        <v>405</v>
      </c>
      <c r="I334" s="41" t="s">
        <v>15</v>
      </c>
      <c r="J334" s="41" t="s">
        <v>405</v>
      </c>
      <c r="K334" s="41" t="s">
        <v>15</v>
      </c>
      <c r="L334" s="41" t="s">
        <v>405</v>
      </c>
      <c r="M334" s="41" t="s">
        <v>15</v>
      </c>
      <c r="N334" s="41" t="s">
        <v>421</v>
      </c>
    </row>
    <row r="335" spans="1:16" ht="12.75" customHeight="1" x14ac:dyDescent="0.2">
      <c r="A335" s="182" t="s">
        <v>324</v>
      </c>
      <c r="B335" s="183"/>
      <c r="C335" s="183"/>
      <c r="D335" s="184"/>
      <c r="E335" s="17"/>
      <c r="F335" s="42">
        <f>IF($M335=0,0,E335/$M335)</f>
        <v>0</v>
      </c>
      <c r="G335" s="17"/>
      <c r="H335" s="42">
        <f>IF($M335=0,0,G335/$M335)</f>
        <v>0</v>
      </c>
      <c r="I335" s="17"/>
      <c r="J335" s="42">
        <f>IF($M335=0,0,I335/$M335)</f>
        <v>0</v>
      </c>
      <c r="K335" s="17"/>
      <c r="L335" s="42">
        <f>IF($M335=0,0,K335/$M335)</f>
        <v>0</v>
      </c>
      <c r="M335" s="89">
        <f t="shared" ref="M335:M349" si="93">E335+G335+I335+K335</f>
        <v>0</v>
      </c>
      <c r="N335" s="42">
        <f>IF($K$40=0,0,M335/$K$40)</f>
        <v>0</v>
      </c>
      <c r="O335" s="79" t="str">
        <f>IF(M335&gt;K$40,1,"")</f>
        <v/>
      </c>
    </row>
    <row r="336" spans="1:16" ht="12.75" customHeight="1" x14ac:dyDescent="0.2">
      <c r="A336" s="182" t="s">
        <v>325</v>
      </c>
      <c r="B336" s="183"/>
      <c r="C336" s="183"/>
      <c r="D336" s="184"/>
      <c r="E336" s="17"/>
      <c r="F336" s="42">
        <f t="shared" ref="F336:F349" si="94">IF($M336=0,0,E336/$M336)</f>
        <v>0</v>
      </c>
      <c r="G336" s="17"/>
      <c r="H336" s="42">
        <f t="shared" ref="H336:J349" si="95">IF($M336=0,0,G336/$M336)</f>
        <v>0</v>
      </c>
      <c r="I336" s="17"/>
      <c r="J336" s="42">
        <f t="shared" si="95"/>
        <v>0</v>
      </c>
      <c r="K336" s="17"/>
      <c r="L336" s="42">
        <f t="shared" ref="L336" si="96">IF($M336=0,0,K336/$M336)</f>
        <v>0</v>
      </c>
      <c r="M336" s="89">
        <f t="shared" si="93"/>
        <v>0</v>
      </c>
      <c r="N336" s="42">
        <f t="shared" ref="N336:N349" si="97">IF($K$40=0,0,M336/$K$40)</f>
        <v>0</v>
      </c>
      <c r="O336" s="79" t="str">
        <f t="shared" ref="O336:O349" si="98">IF(M336&gt;K$40,1,"")</f>
        <v/>
      </c>
    </row>
    <row r="337" spans="1:18" ht="12.75" customHeight="1" x14ac:dyDescent="0.2">
      <c r="A337" s="182" t="s">
        <v>326</v>
      </c>
      <c r="B337" s="183"/>
      <c r="C337" s="183"/>
      <c r="D337" s="184"/>
      <c r="E337" s="17"/>
      <c r="F337" s="42">
        <f t="shared" si="94"/>
        <v>0</v>
      </c>
      <c r="G337" s="17"/>
      <c r="H337" s="42">
        <f t="shared" si="95"/>
        <v>0</v>
      </c>
      <c r="I337" s="17"/>
      <c r="J337" s="42">
        <f t="shared" si="95"/>
        <v>0</v>
      </c>
      <c r="K337" s="17"/>
      <c r="L337" s="42">
        <f t="shared" ref="L337" si="99">IF($M337=0,0,K337/$M337)</f>
        <v>0</v>
      </c>
      <c r="M337" s="89">
        <f t="shared" si="93"/>
        <v>0</v>
      </c>
      <c r="N337" s="42">
        <f t="shared" si="97"/>
        <v>0</v>
      </c>
      <c r="O337" s="79" t="str">
        <f t="shared" si="98"/>
        <v/>
      </c>
    </row>
    <row r="338" spans="1:18" ht="12.75" customHeight="1" x14ac:dyDescent="0.2">
      <c r="A338" s="182" t="s">
        <v>348</v>
      </c>
      <c r="B338" s="183"/>
      <c r="C338" s="183"/>
      <c r="D338" s="184"/>
      <c r="E338" s="17"/>
      <c r="F338" s="42">
        <f t="shared" si="94"/>
        <v>0</v>
      </c>
      <c r="G338" s="17"/>
      <c r="H338" s="42">
        <f t="shared" si="95"/>
        <v>0</v>
      </c>
      <c r="I338" s="17"/>
      <c r="J338" s="42">
        <f t="shared" si="95"/>
        <v>0</v>
      </c>
      <c r="K338" s="17"/>
      <c r="L338" s="42">
        <f t="shared" ref="L338" si="100">IF($M338=0,0,K338/$M338)</f>
        <v>0</v>
      </c>
      <c r="M338" s="89">
        <f t="shared" si="93"/>
        <v>0</v>
      </c>
      <c r="N338" s="42">
        <f t="shared" si="97"/>
        <v>0</v>
      </c>
      <c r="O338" s="79" t="str">
        <f t="shared" si="98"/>
        <v/>
      </c>
    </row>
    <row r="339" spans="1:18" ht="12.75" customHeight="1" x14ac:dyDescent="0.2">
      <c r="A339" s="182" t="s">
        <v>327</v>
      </c>
      <c r="B339" s="183"/>
      <c r="C339" s="183"/>
      <c r="D339" s="184"/>
      <c r="E339" s="17"/>
      <c r="F339" s="42">
        <f t="shared" si="94"/>
        <v>0</v>
      </c>
      <c r="G339" s="17"/>
      <c r="H339" s="42">
        <f t="shared" si="95"/>
        <v>0</v>
      </c>
      <c r="I339" s="17"/>
      <c r="J339" s="42">
        <f t="shared" si="95"/>
        <v>0</v>
      </c>
      <c r="K339" s="17"/>
      <c r="L339" s="42">
        <f t="shared" ref="L339" si="101">IF($M339=0,0,K339/$M339)</f>
        <v>0</v>
      </c>
      <c r="M339" s="89">
        <f t="shared" si="93"/>
        <v>0</v>
      </c>
      <c r="N339" s="42">
        <f t="shared" si="97"/>
        <v>0</v>
      </c>
      <c r="O339" s="79" t="str">
        <f t="shared" si="98"/>
        <v/>
      </c>
    </row>
    <row r="340" spans="1:18" x14ac:dyDescent="0.2">
      <c r="A340" s="182" t="s">
        <v>328</v>
      </c>
      <c r="B340" s="183"/>
      <c r="C340" s="183"/>
      <c r="D340" s="184"/>
      <c r="E340" s="17"/>
      <c r="F340" s="42">
        <f t="shared" si="94"/>
        <v>0</v>
      </c>
      <c r="G340" s="17"/>
      <c r="H340" s="42">
        <f t="shared" si="95"/>
        <v>0</v>
      </c>
      <c r="I340" s="17"/>
      <c r="J340" s="42">
        <f t="shared" si="95"/>
        <v>0</v>
      </c>
      <c r="K340" s="17"/>
      <c r="L340" s="42">
        <f t="shared" ref="L340" si="102">IF($M340=0,0,K340/$M340)</f>
        <v>0</v>
      </c>
      <c r="M340" s="89">
        <f t="shared" si="93"/>
        <v>0</v>
      </c>
      <c r="N340" s="42">
        <f t="shared" si="97"/>
        <v>0</v>
      </c>
      <c r="O340" s="79" t="str">
        <f t="shared" si="98"/>
        <v/>
      </c>
    </row>
    <row r="341" spans="1:18" ht="12.75" customHeight="1" x14ac:dyDescent="0.2">
      <c r="A341" s="182" t="s">
        <v>329</v>
      </c>
      <c r="B341" s="183"/>
      <c r="C341" s="183"/>
      <c r="D341" s="184"/>
      <c r="E341" s="17"/>
      <c r="F341" s="42">
        <f t="shared" si="94"/>
        <v>0</v>
      </c>
      <c r="G341" s="17"/>
      <c r="H341" s="42">
        <f t="shared" si="95"/>
        <v>0</v>
      </c>
      <c r="I341" s="17"/>
      <c r="J341" s="42">
        <f t="shared" si="95"/>
        <v>0</v>
      </c>
      <c r="K341" s="17"/>
      <c r="L341" s="42">
        <f t="shared" ref="L341" si="103">IF($M341=0,0,K341/$M341)</f>
        <v>0</v>
      </c>
      <c r="M341" s="89">
        <f t="shared" si="93"/>
        <v>0</v>
      </c>
      <c r="N341" s="42">
        <f t="shared" si="97"/>
        <v>0</v>
      </c>
      <c r="O341" s="79" t="str">
        <f t="shared" si="98"/>
        <v/>
      </c>
    </row>
    <row r="342" spans="1:18" ht="15.75" customHeight="1" x14ac:dyDescent="0.2">
      <c r="A342" s="182" t="s">
        <v>330</v>
      </c>
      <c r="B342" s="183"/>
      <c r="C342" s="183"/>
      <c r="D342" s="184"/>
      <c r="E342" s="17"/>
      <c r="F342" s="42">
        <f t="shared" si="94"/>
        <v>0</v>
      </c>
      <c r="G342" s="17"/>
      <c r="H342" s="42">
        <f t="shared" si="95"/>
        <v>0</v>
      </c>
      <c r="I342" s="17"/>
      <c r="J342" s="42">
        <f t="shared" si="95"/>
        <v>0</v>
      </c>
      <c r="K342" s="17"/>
      <c r="L342" s="42">
        <f t="shared" ref="L342" si="104">IF($M342=0,0,K342/$M342)</f>
        <v>0</v>
      </c>
      <c r="M342" s="89">
        <f t="shared" si="93"/>
        <v>0</v>
      </c>
      <c r="N342" s="42">
        <f t="shared" si="97"/>
        <v>0</v>
      </c>
      <c r="O342" s="79" t="str">
        <f t="shared" si="98"/>
        <v/>
      </c>
    </row>
    <row r="343" spans="1:18" x14ac:dyDescent="0.2">
      <c r="A343" s="182" t="s">
        <v>331</v>
      </c>
      <c r="B343" s="183"/>
      <c r="C343" s="183"/>
      <c r="D343" s="184"/>
      <c r="E343" s="17"/>
      <c r="F343" s="42">
        <f t="shared" si="94"/>
        <v>0</v>
      </c>
      <c r="G343" s="17"/>
      <c r="H343" s="42">
        <f t="shared" si="95"/>
        <v>0</v>
      </c>
      <c r="I343" s="17"/>
      <c r="J343" s="42">
        <f t="shared" si="95"/>
        <v>0</v>
      </c>
      <c r="K343" s="17"/>
      <c r="L343" s="42">
        <f t="shared" ref="L343" si="105">IF($M343=0,0,K343/$M343)</f>
        <v>0</v>
      </c>
      <c r="M343" s="89">
        <f t="shared" si="93"/>
        <v>0</v>
      </c>
      <c r="N343" s="42">
        <f t="shared" si="97"/>
        <v>0</v>
      </c>
      <c r="O343" s="79" t="str">
        <f t="shared" si="98"/>
        <v/>
      </c>
    </row>
    <row r="344" spans="1:18" x14ac:dyDescent="0.2">
      <c r="A344" s="182" t="s">
        <v>332</v>
      </c>
      <c r="B344" s="183"/>
      <c r="C344" s="183"/>
      <c r="D344" s="184"/>
      <c r="E344" s="17"/>
      <c r="F344" s="42">
        <f t="shared" si="94"/>
        <v>0</v>
      </c>
      <c r="G344" s="17"/>
      <c r="H344" s="42">
        <f t="shared" si="95"/>
        <v>0</v>
      </c>
      <c r="I344" s="17"/>
      <c r="J344" s="42">
        <f t="shared" si="95"/>
        <v>0</v>
      </c>
      <c r="K344" s="17"/>
      <c r="L344" s="42">
        <f t="shared" ref="L344" si="106">IF($M344=0,0,K344/$M344)</f>
        <v>0</v>
      </c>
      <c r="M344" s="89">
        <f t="shared" si="93"/>
        <v>0</v>
      </c>
      <c r="N344" s="42">
        <f t="shared" si="97"/>
        <v>0</v>
      </c>
      <c r="O344" s="79" t="str">
        <f t="shared" si="98"/>
        <v/>
      </c>
    </row>
    <row r="345" spans="1:18" ht="15.75" customHeight="1" x14ac:dyDescent="0.2">
      <c r="A345" s="182" t="s">
        <v>333</v>
      </c>
      <c r="B345" s="183"/>
      <c r="C345" s="183"/>
      <c r="D345" s="184"/>
      <c r="E345" s="17"/>
      <c r="F345" s="42">
        <f t="shared" si="94"/>
        <v>0</v>
      </c>
      <c r="G345" s="17"/>
      <c r="H345" s="42">
        <f t="shared" si="95"/>
        <v>0</v>
      </c>
      <c r="I345" s="17"/>
      <c r="J345" s="42">
        <f t="shared" si="95"/>
        <v>0</v>
      </c>
      <c r="K345" s="17"/>
      <c r="L345" s="42">
        <f t="shared" ref="L345" si="107">IF($M345=0,0,K345/$M345)</f>
        <v>0</v>
      </c>
      <c r="M345" s="89">
        <f t="shared" si="93"/>
        <v>0</v>
      </c>
      <c r="N345" s="42">
        <f t="shared" si="97"/>
        <v>0</v>
      </c>
      <c r="O345" s="79" t="str">
        <f t="shared" si="98"/>
        <v/>
      </c>
      <c r="P345"/>
    </row>
    <row r="346" spans="1:18" ht="15.75" customHeight="1" x14ac:dyDescent="0.2">
      <c r="A346" s="182" t="s">
        <v>334</v>
      </c>
      <c r="B346" s="183"/>
      <c r="C346" s="183"/>
      <c r="D346" s="184"/>
      <c r="E346" s="17"/>
      <c r="F346" s="42">
        <f t="shared" si="94"/>
        <v>0</v>
      </c>
      <c r="G346" s="17"/>
      <c r="H346" s="42">
        <f t="shared" si="95"/>
        <v>0</v>
      </c>
      <c r="I346" s="17"/>
      <c r="J346" s="42">
        <f t="shared" si="95"/>
        <v>0</v>
      </c>
      <c r="K346" s="17"/>
      <c r="L346" s="42">
        <f t="shared" ref="L346" si="108">IF($M346=0,0,K346/$M346)</f>
        <v>0</v>
      </c>
      <c r="M346" s="89">
        <f t="shared" si="93"/>
        <v>0</v>
      </c>
      <c r="N346" s="42">
        <f t="shared" si="97"/>
        <v>0</v>
      </c>
      <c r="O346" s="79" t="str">
        <f t="shared" si="98"/>
        <v/>
      </c>
    </row>
    <row r="347" spans="1:18" x14ac:dyDescent="0.2">
      <c r="A347" s="182" t="s">
        <v>335</v>
      </c>
      <c r="B347" s="183"/>
      <c r="C347" s="183"/>
      <c r="D347" s="184"/>
      <c r="E347" s="17"/>
      <c r="F347" s="42">
        <f t="shared" si="94"/>
        <v>0</v>
      </c>
      <c r="G347" s="17"/>
      <c r="H347" s="42">
        <f t="shared" si="95"/>
        <v>0</v>
      </c>
      <c r="I347" s="17"/>
      <c r="J347" s="42">
        <f t="shared" si="95"/>
        <v>0</v>
      </c>
      <c r="K347" s="17"/>
      <c r="L347" s="42">
        <f t="shared" ref="L347" si="109">IF($M347=0,0,K347/$M347)</f>
        <v>0</v>
      </c>
      <c r="M347" s="89">
        <f t="shared" si="93"/>
        <v>0</v>
      </c>
      <c r="N347" s="42">
        <f t="shared" si="97"/>
        <v>0</v>
      </c>
      <c r="O347" s="79" t="str">
        <f t="shared" si="98"/>
        <v/>
      </c>
    </row>
    <row r="348" spans="1:18" x14ac:dyDescent="0.2">
      <c r="A348" s="182" t="s">
        <v>336</v>
      </c>
      <c r="B348" s="183"/>
      <c r="C348" s="183"/>
      <c r="D348" s="184"/>
      <c r="E348" s="17"/>
      <c r="F348" s="42">
        <f t="shared" si="94"/>
        <v>0</v>
      </c>
      <c r="G348" s="17"/>
      <c r="H348" s="42">
        <f t="shared" si="95"/>
        <v>0</v>
      </c>
      <c r="I348" s="17"/>
      <c r="J348" s="42">
        <f t="shared" si="95"/>
        <v>0</v>
      </c>
      <c r="K348" s="17"/>
      <c r="L348" s="42">
        <f t="shared" ref="L348" si="110">IF($M348=0,0,K348/$M348)</f>
        <v>0</v>
      </c>
      <c r="M348" s="89">
        <f t="shared" si="93"/>
        <v>0</v>
      </c>
      <c r="N348" s="42">
        <f t="shared" si="97"/>
        <v>0</v>
      </c>
      <c r="O348" s="79" t="str">
        <f t="shared" si="98"/>
        <v/>
      </c>
    </row>
    <row r="349" spans="1:18" x14ac:dyDescent="0.2">
      <c r="A349" s="182" t="s">
        <v>337</v>
      </c>
      <c r="B349" s="183"/>
      <c r="C349" s="183"/>
      <c r="D349" s="184"/>
      <c r="E349" s="17"/>
      <c r="F349" s="42">
        <f t="shared" si="94"/>
        <v>0</v>
      </c>
      <c r="G349" s="17"/>
      <c r="H349" s="42">
        <f t="shared" si="95"/>
        <v>0</v>
      </c>
      <c r="I349" s="17"/>
      <c r="J349" s="42">
        <f t="shared" si="95"/>
        <v>0</v>
      </c>
      <c r="K349" s="17"/>
      <c r="L349" s="42">
        <f t="shared" ref="L349" si="111">IF($M349=0,0,K349/$M349)</f>
        <v>0</v>
      </c>
      <c r="M349" s="89">
        <f t="shared" si="93"/>
        <v>0</v>
      </c>
      <c r="N349" s="42">
        <f t="shared" si="97"/>
        <v>0</v>
      </c>
      <c r="O349" s="79" t="str">
        <f t="shared" si="98"/>
        <v/>
      </c>
      <c r="P349"/>
    </row>
    <row r="350" spans="1:18" x14ac:dyDescent="0.2">
      <c r="A350" s="31" t="s">
        <v>424</v>
      </c>
      <c r="B350" s="53"/>
      <c r="C350" s="53"/>
      <c r="D350" s="53"/>
      <c r="E350" s="31" t="s">
        <v>423</v>
      </c>
      <c r="F350" s="53"/>
      <c r="G350" s="53"/>
      <c r="I350" s="31" t="s">
        <v>422</v>
      </c>
      <c r="O350" s="72">
        <f>SUM(O335:O349)</f>
        <v>0</v>
      </c>
    </row>
    <row r="351" spans="1:18" customFormat="1" x14ac:dyDescent="0.2">
      <c r="A351" s="31"/>
      <c r="B351" s="53"/>
      <c r="C351" s="53"/>
      <c r="D351" s="53"/>
      <c r="E351" s="53"/>
      <c r="F351" s="53"/>
      <c r="G351" s="53"/>
      <c r="H351" s="23"/>
      <c r="K351" s="90"/>
      <c r="L351" s="90"/>
      <c r="M351" s="90"/>
      <c r="Q351" s="23"/>
      <c r="R351" s="23"/>
    </row>
    <row r="352" spans="1:18" customFormat="1" x14ac:dyDescent="0.2">
      <c r="A352" s="91" t="s">
        <v>369</v>
      </c>
      <c r="B352" s="92"/>
      <c r="C352" s="92"/>
      <c r="D352" s="92"/>
      <c r="E352" s="92"/>
      <c r="F352" s="92"/>
      <c r="G352" s="92"/>
      <c r="K352" s="90"/>
      <c r="L352" s="90"/>
      <c r="M352" s="90"/>
    </row>
    <row r="353" spans="1:22" customFormat="1" x14ac:dyDescent="0.2">
      <c r="A353" s="197" t="s">
        <v>145</v>
      </c>
      <c r="B353" s="198"/>
      <c r="C353" s="198"/>
      <c r="D353" s="198"/>
      <c r="E353" s="198"/>
      <c r="F353" s="198"/>
      <c r="G353" s="198"/>
      <c r="H353" s="199"/>
      <c r="I353" s="289" t="s">
        <v>15</v>
      </c>
      <c r="J353" s="289" t="s">
        <v>65</v>
      </c>
      <c r="K353" s="271" t="s">
        <v>64</v>
      </c>
      <c r="L353" s="271"/>
      <c r="M353" s="271"/>
    </row>
    <row r="354" spans="1:22" customFormat="1" ht="12.75" customHeight="1" x14ac:dyDescent="0.2">
      <c r="A354" s="200"/>
      <c r="B354" s="201"/>
      <c r="C354" s="201"/>
      <c r="D354" s="201"/>
      <c r="E354" s="201"/>
      <c r="F354" s="201"/>
      <c r="G354" s="201"/>
      <c r="H354" s="202"/>
      <c r="I354" s="290"/>
      <c r="J354" s="290" t="s">
        <v>65</v>
      </c>
      <c r="K354" s="93" t="s">
        <v>123</v>
      </c>
      <c r="L354" s="263" t="s">
        <v>124</v>
      </c>
      <c r="M354" s="264"/>
    </row>
    <row r="355" spans="1:22" customFormat="1" ht="12.75" customHeight="1" x14ac:dyDescent="0.2">
      <c r="A355" s="145" t="s">
        <v>105</v>
      </c>
      <c r="B355" s="146"/>
      <c r="C355" s="146"/>
      <c r="D355" s="146"/>
      <c r="E355" s="146"/>
      <c r="F355" s="146"/>
      <c r="G355" s="146"/>
      <c r="H355" s="146"/>
      <c r="I355" s="146"/>
      <c r="J355" s="147"/>
      <c r="K355" s="94">
        <f>K379*82</f>
        <v>0</v>
      </c>
      <c r="L355" s="282" t="str">
        <f>IF(K$379=0,"0,00",K355/K$379)</f>
        <v>0,00</v>
      </c>
      <c r="M355" s="283"/>
    </row>
    <row r="356" spans="1:22" customFormat="1" ht="12.75" customHeight="1" x14ac:dyDescent="0.2">
      <c r="A356" s="145" t="s">
        <v>433</v>
      </c>
      <c r="B356" s="146"/>
      <c r="C356" s="146"/>
      <c r="D356" s="146"/>
      <c r="E356" s="146"/>
      <c r="F356" s="146"/>
      <c r="G356" s="146"/>
      <c r="H356" s="146"/>
      <c r="I356" s="146"/>
      <c r="J356" s="147"/>
      <c r="K356" s="3"/>
      <c r="L356" s="282" t="str">
        <f t="shared" ref="L356:L368" si="112">IF(K$379=0,"0,00",K356/K$379)</f>
        <v>0,00</v>
      </c>
      <c r="M356" s="283"/>
    </row>
    <row r="357" spans="1:22" customFormat="1" ht="12.75" customHeight="1" x14ac:dyDescent="0.2">
      <c r="A357" s="145" t="s">
        <v>95</v>
      </c>
      <c r="B357" s="146"/>
      <c r="C357" s="146"/>
      <c r="D357" s="146"/>
      <c r="E357" s="146"/>
      <c r="F357" s="146"/>
      <c r="G357" s="146"/>
      <c r="H357" s="147"/>
      <c r="I357" s="2"/>
      <c r="J357" s="95">
        <v>1.25</v>
      </c>
      <c r="K357" s="96">
        <f>I357*J357</f>
        <v>0</v>
      </c>
      <c r="L357" s="282" t="str">
        <f t="shared" si="112"/>
        <v>0,00</v>
      </c>
      <c r="M357" s="283"/>
    </row>
    <row r="358" spans="1:22" customFormat="1" ht="12.75" customHeight="1" x14ac:dyDescent="0.2">
      <c r="A358" s="145" t="s">
        <v>158</v>
      </c>
      <c r="B358" s="146"/>
      <c r="C358" s="146"/>
      <c r="D358" s="146"/>
      <c r="E358" s="146"/>
      <c r="F358" s="146"/>
      <c r="G358" s="146"/>
      <c r="H358" s="146"/>
      <c r="I358" s="146"/>
      <c r="J358" s="147"/>
      <c r="K358" s="3"/>
      <c r="L358" s="282" t="str">
        <f t="shared" si="112"/>
        <v>0,00</v>
      </c>
      <c r="M358" s="283"/>
    </row>
    <row r="359" spans="1:22" customFormat="1" ht="12.75" customHeight="1" x14ac:dyDescent="0.2">
      <c r="A359" s="145" t="s">
        <v>96</v>
      </c>
      <c r="B359" s="146"/>
      <c r="C359" s="146"/>
      <c r="D359" s="146"/>
      <c r="E359" s="146"/>
      <c r="F359" s="146"/>
      <c r="G359" s="146"/>
      <c r="H359" s="147"/>
      <c r="I359" s="2"/>
      <c r="J359" s="97">
        <v>1.25</v>
      </c>
      <c r="K359" s="96">
        <f>I359*J359</f>
        <v>0</v>
      </c>
      <c r="L359" s="282" t="str">
        <f t="shared" si="112"/>
        <v>0,00</v>
      </c>
      <c r="M359" s="283"/>
    </row>
    <row r="360" spans="1:22" customFormat="1" ht="12.75" customHeight="1" x14ac:dyDescent="0.2">
      <c r="A360" s="145" t="s">
        <v>159</v>
      </c>
      <c r="B360" s="146"/>
      <c r="C360" s="146"/>
      <c r="D360" s="146"/>
      <c r="E360" s="146"/>
      <c r="F360" s="146"/>
      <c r="G360" s="146"/>
      <c r="H360" s="146"/>
      <c r="I360" s="146"/>
      <c r="J360" s="147"/>
      <c r="K360" s="3"/>
      <c r="L360" s="282" t="str">
        <f t="shared" si="112"/>
        <v>0,00</v>
      </c>
      <c r="M360" s="283"/>
    </row>
    <row r="361" spans="1:22" customFormat="1" ht="12.75" customHeight="1" x14ac:dyDescent="0.2">
      <c r="A361" s="145" t="s">
        <v>97</v>
      </c>
      <c r="B361" s="146"/>
      <c r="C361" s="146"/>
      <c r="D361" s="146"/>
      <c r="E361" s="146"/>
      <c r="F361" s="146"/>
      <c r="G361" s="146"/>
      <c r="H361" s="147"/>
      <c r="I361" s="2"/>
      <c r="J361" s="95">
        <v>1.5</v>
      </c>
      <c r="K361" s="96">
        <f>I361*J361</f>
        <v>0</v>
      </c>
      <c r="L361" s="282" t="str">
        <f t="shared" si="112"/>
        <v>0,00</v>
      </c>
      <c r="M361" s="283"/>
    </row>
    <row r="362" spans="1:22" customFormat="1" ht="12.75" customHeight="1" x14ac:dyDescent="0.2">
      <c r="A362" s="145" t="s">
        <v>98</v>
      </c>
      <c r="B362" s="146"/>
      <c r="C362" s="146"/>
      <c r="D362" s="146"/>
      <c r="E362" s="146"/>
      <c r="F362" s="146"/>
      <c r="G362" s="146"/>
      <c r="H362" s="147"/>
      <c r="I362" s="2"/>
      <c r="J362" s="95">
        <v>0.5</v>
      </c>
      <c r="K362" s="96">
        <f>I362*J362</f>
        <v>0</v>
      </c>
      <c r="L362" s="282" t="str">
        <f t="shared" si="112"/>
        <v>0,00</v>
      </c>
      <c r="M362" s="283"/>
    </row>
    <row r="363" spans="1:22" customFormat="1" ht="12.75" customHeight="1" x14ac:dyDescent="0.2">
      <c r="A363" s="145" t="s">
        <v>160</v>
      </c>
      <c r="B363" s="146"/>
      <c r="C363" s="146"/>
      <c r="D363" s="146"/>
      <c r="E363" s="146"/>
      <c r="F363" s="146"/>
      <c r="G363" s="146"/>
      <c r="H363" s="146"/>
      <c r="I363" s="146"/>
      <c r="J363" s="147"/>
      <c r="K363" s="3"/>
      <c r="L363" s="282" t="str">
        <f t="shared" si="112"/>
        <v>0,00</v>
      </c>
      <c r="M363" s="283"/>
    </row>
    <row r="364" spans="1:22" customFormat="1" ht="12.75" customHeight="1" x14ac:dyDescent="0.2">
      <c r="A364" s="145" t="s">
        <v>99</v>
      </c>
      <c r="B364" s="146"/>
      <c r="C364" s="146"/>
      <c r="D364" s="146"/>
      <c r="E364" s="146"/>
      <c r="F364" s="146"/>
      <c r="G364" s="146"/>
      <c r="H364" s="147"/>
      <c r="I364" s="2"/>
      <c r="J364" s="98">
        <v>1.25</v>
      </c>
      <c r="K364" s="96">
        <f>I364*J364</f>
        <v>0</v>
      </c>
      <c r="L364" s="282" t="str">
        <f t="shared" si="112"/>
        <v>0,00</v>
      </c>
      <c r="M364" s="283"/>
    </row>
    <row r="365" spans="1:22" customFormat="1" ht="12.75" customHeight="1" x14ac:dyDescent="0.2">
      <c r="A365" s="145" t="s">
        <v>144</v>
      </c>
      <c r="B365" s="146"/>
      <c r="C365" s="146"/>
      <c r="D365" s="146"/>
      <c r="E365" s="146"/>
      <c r="F365" s="146"/>
      <c r="G365" s="146"/>
      <c r="H365" s="147"/>
      <c r="I365" s="2"/>
      <c r="J365" s="98">
        <v>1.25</v>
      </c>
      <c r="K365" s="96">
        <f>I365*J365</f>
        <v>0</v>
      </c>
      <c r="L365" s="282" t="str">
        <f t="shared" si="112"/>
        <v>0,00</v>
      </c>
      <c r="M365" s="283"/>
    </row>
    <row r="366" spans="1:22" customFormat="1" ht="12.75" customHeight="1" x14ac:dyDescent="0.2">
      <c r="A366" s="145" t="s">
        <v>147</v>
      </c>
      <c r="B366" s="146"/>
      <c r="C366" s="146"/>
      <c r="D366" s="146"/>
      <c r="E366" s="146"/>
      <c r="F366" s="146"/>
      <c r="G366" s="146"/>
      <c r="H366" s="146"/>
      <c r="I366" s="146"/>
      <c r="J366" s="147"/>
      <c r="K366" s="5"/>
      <c r="L366" s="282" t="str">
        <f t="shared" si="112"/>
        <v>0,00</v>
      </c>
      <c r="M366" s="283"/>
    </row>
    <row r="367" spans="1:22" customFormat="1" ht="12.75" customHeight="1" x14ac:dyDescent="0.2">
      <c r="A367" s="145" t="s">
        <v>108</v>
      </c>
      <c r="B367" s="146"/>
      <c r="C367" s="146"/>
      <c r="D367" s="146"/>
      <c r="E367" s="146"/>
      <c r="F367" s="146"/>
      <c r="G367" s="146"/>
      <c r="H367" s="147"/>
      <c r="I367" s="2"/>
      <c r="J367" s="95">
        <v>1.25</v>
      </c>
      <c r="K367" s="96">
        <f>I367*J367</f>
        <v>0</v>
      </c>
      <c r="L367" s="282" t="str">
        <f t="shared" si="112"/>
        <v>0,00</v>
      </c>
      <c r="M367" s="283"/>
      <c r="S367" s="90"/>
      <c r="T367" s="90"/>
      <c r="U367" s="90"/>
      <c r="V367" s="90"/>
    </row>
    <row r="368" spans="1:22" customFormat="1" ht="12.75" customHeight="1" x14ac:dyDescent="0.2">
      <c r="A368" s="145" t="s">
        <v>104</v>
      </c>
      <c r="B368" s="146"/>
      <c r="C368" s="146"/>
      <c r="D368" s="146"/>
      <c r="E368" s="146"/>
      <c r="F368" s="146"/>
      <c r="G368" s="146"/>
      <c r="H368" s="146"/>
      <c r="I368" s="146"/>
      <c r="J368" s="147"/>
      <c r="K368" s="2"/>
      <c r="L368" s="282" t="str">
        <f t="shared" si="112"/>
        <v>0,00</v>
      </c>
      <c r="M368" s="283"/>
      <c r="Q368" s="90"/>
      <c r="R368" s="90"/>
    </row>
    <row r="369" spans="1:13" customFormat="1" ht="12.75" customHeight="1" x14ac:dyDescent="0.2">
      <c r="A369" s="145" t="s">
        <v>116</v>
      </c>
      <c r="B369" s="146"/>
      <c r="C369" s="146"/>
      <c r="D369" s="146"/>
      <c r="E369" s="146"/>
      <c r="F369" s="146"/>
      <c r="G369" s="146"/>
      <c r="H369" s="146"/>
      <c r="I369" s="146"/>
      <c r="J369" s="147"/>
      <c r="K369" s="4"/>
    </row>
    <row r="370" spans="1:13" customFormat="1" x14ac:dyDescent="0.2">
      <c r="A370" s="99" t="s">
        <v>157</v>
      </c>
      <c r="B370" s="100"/>
      <c r="C370" s="100"/>
      <c r="D370" s="100"/>
      <c r="E370" s="100"/>
      <c r="F370" s="100"/>
      <c r="G370" s="100"/>
      <c r="H370" s="100"/>
      <c r="I370" s="100"/>
      <c r="J370" s="100"/>
    </row>
    <row r="371" spans="1:13" customFormat="1" x14ac:dyDescent="0.2">
      <c r="A371" s="99" t="s">
        <v>143</v>
      </c>
      <c r="B371" s="100"/>
      <c r="C371" s="100"/>
      <c r="D371" s="100"/>
      <c r="E371" s="100"/>
      <c r="F371" s="100"/>
      <c r="G371" s="100"/>
      <c r="H371" s="100"/>
      <c r="I371" s="100"/>
      <c r="J371" s="100"/>
    </row>
    <row r="372" spans="1:13" customFormat="1" ht="12.75" customHeight="1" x14ac:dyDescent="0.2">
      <c r="A372" s="99" t="s">
        <v>161</v>
      </c>
      <c r="B372" s="100"/>
      <c r="C372" s="100"/>
      <c r="D372" s="100"/>
      <c r="E372" s="100"/>
      <c r="F372" s="100"/>
      <c r="G372" s="100"/>
      <c r="H372" s="100"/>
    </row>
    <row r="373" spans="1:13" customFormat="1" ht="12.75" customHeight="1" x14ac:dyDescent="0.2">
      <c r="A373" s="99"/>
      <c r="B373" s="100"/>
      <c r="C373" s="100"/>
      <c r="D373" s="100"/>
      <c r="E373" s="100"/>
      <c r="F373" s="100"/>
      <c r="G373" s="100"/>
      <c r="H373" s="100"/>
    </row>
    <row r="374" spans="1:13" customFormat="1" ht="12.75" customHeight="1" x14ac:dyDescent="0.2">
      <c r="A374" s="203" t="s">
        <v>166</v>
      </c>
      <c r="B374" s="204"/>
      <c r="C374" s="204"/>
      <c r="D374" s="204"/>
      <c r="E374" s="204"/>
      <c r="F374" s="204"/>
      <c r="G374" s="204"/>
      <c r="H374" s="205"/>
      <c r="I374" s="392"/>
      <c r="J374" s="393"/>
      <c r="K374" s="22"/>
      <c r="L374" s="101" t="s">
        <v>138</v>
      </c>
    </row>
    <row r="375" spans="1:13" customFormat="1" ht="12.75" customHeight="1" x14ac:dyDescent="0.2">
      <c r="A375" s="203" t="s">
        <v>406</v>
      </c>
      <c r="B375" s="204"/>
      <c r="C375" s="204"/>
      <c r="D375" s="204"/>
      <c r="E375" s="204"/>
      <c r="F375" s="102" t="s">
        <v>407</v>
      </c>
      <c r="G375" s="102"/>
      <c r="H375" s="103"/>
      <c r="I375" s="21">
        <v>38.5</v>
      </c>
      <c r="J375" s="104" t="s">
        <v>408</v>
      </c>
      <c r="K375" s="105">
        <f>40.987*I375/100*70</f>
        <v>1104.5996500000001</v>
      </c>
      <c r="L375" s="101" t="s">
        <v>64</v>
      </c>
    </row>
    <row r="376" spans="1:13" customFormat="1" ht="12.75" customHeight="1" x14ac:dyDescent="0.2">
      <c r="A376" s="203" t="s">
        <v>167</v>
      </c>
      <c r="B376" s="204"/>
      <c r="C376" s="204"/>
      <c r="D376" s="204"/>
      <c r="E376" s="204"/>
      <c r="F376" s="204"/>
      <c r="G376" s="204"/>
      <c r="H376" s="205"/>
      <c r="I376" s="284"/>
      <c r="J376" s="285"/>
      <c r="K376" s="105">
        <f>K374*K375</f>
        <v>0</v>
      </c>
      <c r="L376" s="101" t="s">
        <v>64</v>
      </c>
    </row>
    <row r="377" spans="1:13" customFormat="1" ht="12.75" customHeight="1" x14ac:dyDescent="0.2">
      <c r="A377" s="203" t="s">
        <v>136</v>
      </c>
      <c r="B377" s="204"/>
      <c r="C377" s="204"/>
      <c r="D377" s="204"/>
      <c r="E377" s="204"/>
      <c r="F377" s="204"/>
      <c r="G377" s="204"/>
      <c r="H377" s="205"/>
      <c r="I377" s="284"/>
      <c r="J377" s="285"/>
      <c r="K377" s="22"/>
      <c r="L377" s="101" t="s">
        <v>64</v>
      </c>
      <c r="M377" s="106" t="b">
        <f>AND(K377&gt;0,ISBLANK(A388))</f>
        <v>0</v>
      </c>
    </row>
    <row r="378" spans="1:13" customFormat="1" ht="12.75" customHeight="1" x14ac:dyDescent="0.2">
      <c r="A378" s="203" t="s">
        <v>135</v>
      </c>
      <c r="B378" s="204"/>
      <c r="C378" s="204"/>
      <c r="D378" s="204"/>
      <c r="E378" s="204"/>
      <c r="F378" s="204"/>
      <c r="G378" s="204"/>
      <c r="H378" s="205"/>
      <c r="I378" s="284"/>
      <c r="J378" s="285"/>
      <c r="K378" s="105">
        <f>K376-K377</f>
        <v>0</v>
      </c>
      <c r="L378" s="101" t="s">
        <v>64</v>
      </c>
    </row>
    <row r="379" spans="1:13" customFormat="1" ht="12.75" customHeight="1" x14ac:dyDescent="0.2">
      <c r="A379" s="203" t="s">
        <v>137</v>
      </c>
      <c r="B379" s="204"/>
      <c r="C379" s="204"/>
      <c r="D379" s="204"/>
      <c r="E379" s="204"/>
      <c r="F379" s="204"/>
      <c r="G379" s="204"/>
      <c r="H379" s="205"/>
      <c r="I379" s="284"/>
      <c r="J379" s="285"/>
      <c r="K379" s="105">
        <f>IF(K375=0,0,K378/K375)</f>
        <v>0</v>
      </c>
      <c r="L379" s="101" t="s">
        <v>138</v>
      </c>
    </row>
    <row r="380" spans="1:13" customFormat="1" ht="12.75" customHeight="1" x14ac:dyDescent="0.2">
      <c r="A380" s="203" t="s">
        <v>168</v>
      </c>
      <c r="B380" s="204"/>
      <c r="C380" s="204"/>
      <c r="D380" s="204"/>
      <c r="E380" s="204"/>
      <c r="F380" s="204"/>
      <c r="G380" s="204"/>
      <c r="H380" s="205"/>
      <c r="I380" s="284"/>
      <c r="J380" s="285"/>
      <c r="K380" s="105">
        <f>SUM(K355:K368)</f>
        <v>0</v>
      </c>
      <c r="L380" s="101" t="s">
        <v>64</v>
      </c>
    </row>
    <row r="381" spans="1:13" customFormat="1" ht="12.75" customHeight="1" x14ac:dyDescent="0.2">
      <c r="A381" s="203" t="s">
        <v>169</v>
      </c>
      <c r="B381" s="204"/>
      <c r="C381" s="204"/>
      <c r="D381" s="204"/>
      <c r="E381" s="204"/>
      <c r="F381" s="204"/>
      <c r="G381" s="204"/>
      <c r="H381" s="205"/>
      <c r="I381" s="284"/>
      <c r="J381" s="285"/>
      <c r="K381" s="105">
        <f>IF(K375=0,0,K380/K375)</f>
        <v>0</v>
      </c>
      <c r="L381" s="101" t="s">
        <v>138</v>
      </c>
    </row>
    <row r="382" spans="1:13" customFormat="1" ht="12.75" customHeight="1" x14ac:dyDescent="0.2">
      <c r="A382" s="203" t="s">
        <v>107</v>
      </c>
      <c r="B382" s="204"/>
      <c r="C382" s="204"/>
      <c r="D382" s="204"/>
      <c r="E382" s="204"/>
      <c r="F382" s="204"/>
      <c r="G382" s="204"/>
      <c r="H382" s="205"/>
      <c r="I382" s="284"/>
      <c r="J382" s="285"/>
      <c r="K382" s="105">
        <f>K380-K378</f>
        <v>0</v>
      </c>
      <c r="L382" s="101" t="s">
        <v>64</v>
      </c>
    </row>
    <row r="383" spans="1:13" customFormat="1" ht="12.75" customHeight="1" x14ac:dyDescent="0.2">
      <c r="A383" s="203" t="s">
        <v>139</v>
      </c>
      <c r="B383" s="204"/>
      <c r="C383" s="204"/>
      <c r="D383" s="204"/>
      <c r="E383" s="204"/>
      <c r="F383" s="204"/>
      <c r="G383" s="204"/>
      <c r="H383" s="205"/>
      <c r="I383" s="284"/>
      <c r="J383" s="285"/>
      <c r="K383" s="105">
        <f>K381-K379</f>
        <v>0</v>
      </c>
      <c r="L383" s="101" t="s">
        <v>138</v>
      </c>
    </row>
    <row r="384" spans="1:13" customFormat="1" ht="12.75" customHeight="1" x14ac:dyDescent="0.2">
      <c r="A384" s="203" t="s">
        <v>140</v>
      </c>
      <c r="B384" s="204"/>
      <c r="C384" s="204"/>
      <c r="D384" s="204"/>
      <c r="E384" s="204"/>
      <c r="F384" s="204"/>
      <c r="G384" s="204"/>
      <c r="H384" s="205"/>
      <c r="I384" s="284"/>
      <c r="J384" s="285"/>
      <c r="K384" s="105">
        <f>IF(K376-K377=0,0,K382/(K376-K377)*100)</f>
        <v>0</v>
      </c>
      <c r="L384" s="101" t="s">
        <v>17</v>
      </c>
    </row>
    <row r="385" spans="1:15" customFormat="1" x14ac:dyDescent="0.2"/>
    <row r="386" spans="1:15" customFormat="1" x14ac:dyDescent="0.2">
      <c r="A386" s="91" t="s">
        <v>66</v>
      </c>
      <c r="H386" s="91" t="s">
        <v>106</v>
      </c>
    </row>
    <row r="387" spans="1:15" customFormat="1" ht="12.75" customHeight="1" x14ac:dyDescent="0.2">
      <c r="A387" s="37" t="str">
        <f>IF(M377=FALSE,"","Bitte Gründe für Sollstundenreduzierung eintragen")</f>
        <v/>
      </c>
    </row>
    <row r="388" spans="1:15" customFormat="1" x14ac:dyDescent="0.2">
      <c r="A388" s="206"/>
      <c r="B388" s="232"/>
      <c r="C388" s="232"/>
      <c r="D388" s="232"/>
      <c r="E388" s="232"/>
      <c r="F388" s="233"/>
      <c r="H388" s="206"/>
      <c r="I388" s="207"/>
      <c r="J388" s="207"/>
      <c r="K388" s="207"/>
      <c r="L388" s="207"/>
      <c r="M388" s="207"/>
      <c r="N388" s="207"/>
      <c r="O388" s="208"/>
    </row>
    <row r="389" spans="1:15" customFormat="1" x14ac:dyDescent="0.2">
      <c r="A389" s="234"/>
      <c r="B389" s="235"/>
      <c r="C389" s="235"/>
      <c r="D389" s="235"/>
      <c r="E389" s="235"/>
      <c r="F389" s="236"/>
      <c r="H389" s="209"/>
      <c r="I389" s="210"/>
      <c r="J389" s="210"/>
      <c r="K389" s="210"/>
      <c r="L389" s="210"/>
      <c r="M389" s="210"/>
      <c r="N389" s="210"/>
      <c r="O389" s="211"/>
    </row>
    <row r="390" spans="1:15" customFormat="1" x14ac:dyDescent="0.2">
      <c r="A390" s="234"/>
      <c r="B390" s="235"/>
      <c r="C390" s="235"/>
      <c r="D390" s="235"/>
      <c r="E390" s="235"/>
      <c r="F390" s="236"/>
      <c r="H390" s="209"/>
      <c r="I390" s="210"/>
      <c r="J390" s="210"/>
      <c r="K390" s="210"/>
      <c r="L390" s="210"/>
      <c r="M390" s="210"/>
      <c r="N390" s="210"/>
      <c r="O390" s="211"/>
    </row>
    <row r="391" spans="1:15" customFormat="1" x14ac:dyDescent="0.2">
      <c r="A391" s="234"/>
      <c r="B391" s="235"/>
      <c r="C391" s="235"/>
      <c r="D391" s="235"/>
      <c r="E391" s="235"/>
      <c r="F391" s="236"/>
      <c r="H391" s="209"/>
      <c r="I391" s="210"/>
      <c r="J391" s="210"/>
      <c r="K391" s="210"/>
      <c r="L391" s="210"/>
      <c r="M391" s="210"/>
      <c r="N391" s="210"/>
      <c r="O391" s="211"/>
    </row>
    <row r="392" spans="1:15" customFormat="1" x14ac:dyDescent="0.2">
      <c r="A392" s="234"/>
      <c r="B392" s="235"/>
      <c r="C392" s="235"/>
      <c r="D392" s="235"/>
      <c r="E392" s="235"/>
      <c r="F392" s="236"/>
      <c r="H392" s="209"/>
      <c r="I392" s="210"/>
      <c r="J392" s="210"/>
      <c r="K392" s="210"/>
      <c r="L392" s="210"/>
      <c r="M392" s="210"/>
      <c r="N392" s="210"/>
      <c r="O392" s="211"/>
    </row>
    <row r="393" spans="1:15" customFormat="1" x14ac:dyDescent="0.2">
      <c r="A393" s="234"/>
      <c r="B393" s="235"/>
      <c r="C393" s="235"/>
      <c r="D393" s="235"/>
      <c r="E393" s="235"/>
      <c r="F393" s="236"/>
      <c r="H393" s="209"/>
      <c r="I393" s="210"/>
      <c r="J393" s="210"/>
      <c r="K393" s="210"/>
      <c r="L393" s="210"/>
      <c r="M393" s="210"/>
      <c r="N393" s="210"/>
      <c r="O393" s="211"/>
    </row>
    <row r="394" spans="1:15" customFormat="1" x14ac:dyDescent="0.2">
      <c r="A394" s="234"/>
      <c r="B394" s="235"/>
      <c r="C394" s="235"/>
      <c r="D394" s="235"/>
      <c r="E394" s="235"/>
      <c r="F394" s="236"/>
      <c r="H394" s="209"/>
      <c r="I394" s="210"/>
      <c r="J394" s="210"/>
      <c r="K394" s="210"/>
      <c r="L394" s="210"/>
      <c r="M394" s="210"/>
      <c r="N394" s="210"/>
      <c r="O394" s="211"/>
    </row>
    <row r="395" spans="1:15" customFormat="1" x14ac:dyDescent="0.2">
      <c r="A395" s="234"/>
      <c r="B395" s="235"/>
      <c r="C395" s="235"/>
      <c r="D395" s="235"/>
      <c r="E395" s="235"/>
      <c r="F395" s="236"/>
      <c r="H395" s="209"/>
      <c r="I395" s="210"/>
      <c r="J395" s="210"/>
      <c r="K395" s="210"/>
      <c r="L395" s="210"/>
      <c r="M395" s="210"/>
      <c r="N395" s="210"/>
      <c r="O395" s="211"/>
    </row>
    <row r="396" spans="1:15" customFormat="1" x14ac:dyDescent="0.2">
      <c r="A396" s="234"/>
      <c r="B396" s="235"/>
      <c r="C396" s="235"/>
      <c r="D396" s="235"/>
      <c r="E396" s="235"/>
      <c r="F396" s="236"/>
      <c r="H396" s="209"/>
      <c r="I396" s="210"/>
      <c r="J396" s="210"/>
      <c r="K396" s="210"/>
      <c r="L396" s="210"/>
      <c r="M396" s="210"/>
      <c r="N396" s="210"/>
      <c r="O396" s="211"/>
    </row>
    <row r="397" spans="1:15" customFormat="1" x14ac:dyDescent="0.2">
      <c r="A397" s="234"/>
      <c r="B397" s="235"/>
      <c r="C397" s="235"/>
      <c r="D397" s="235"/>
      <c r="E397" s="235"/>
      <c r="F397" s="236"/>
      <c r="H397" s="209"/>
      <c r="I397" s="210"/>
      <c r="J397" s="210"/>
      <c r="K397" s="210"/>
      <c r="L397" s="210"/>
      <c r="M397" s="210"/>
      <c r="N397" s="210"/>
      <c r="O397" s="211"/>
    </row>
    <row r="398" spans="1:15" customFormat="1" x14ac:dyDescent="0.2">
      <c r="A398" s="234"/>
      <c r="B398" s="235"/>
      <c r="C398" s="235"/>
      <c r="D398" s="235"/>
      <c r="E398" s="235"/>
      <c r="F398" s="236"/>
      <c r="H398" s="209"/>
      <c r="I398" s="210"/>
      <c r="J398" s="210"/>
      <c r="K398" s="210"/>
      <c r="L398" s="210"/>
      <c r="M398" s="210"/>
      <c r="N398" s="210"/>
      <c r="O398" s="211"/>
    </row>
    <row r="399" spans="1:15" customFormat="1" x14ac:dyDescent="0.2">
      <c r="A399" s="234"/>
      <c r="B399" s="235"/>
      <c r="C399" s="235"/>
      <c r="D399" s="235"/>
      <c r="E399" s="235"/>
      <c r="F399" s="236"/>
      <c r="H399" s="209"/>
      <c r="I399" s="210"/>
      <c r="J399" s="210"/>
      <c r="K399" s="210"/>
      <c r="L399" s="210"/>
      <c r="M399" s="210"/>
      <c r="N399" s="210"/>
      <c r="O399" s="211"/>
    </row>
    <row r="400" spans="1:15" customFormat="1" x14ac:dyDescent="0.2">
      <c r="A400" s="237"/>
      <c r="B400" s="238"/>
      <c r="C400" s="238"/>
      <c r="D400" s="238"/>
      <c r="E400" s="238"/>
      <c r="F400" s="239"/>
      <c r="H400" s="212"/>
      <c r="I400" s="213"/>
      <c r="J400" s="213"/>
      <c r="K400" s="213"/>
      <c r="L400" s="213"/>
      <c r="M400" s="213"/>
      <c r="N400" s="213"/>
      <c r="O400" s="214"/>
    </row>
    <row r="401" spans="1:18" customFormat="1" x14ac:dyDescent="0.2">
      <c r="N401" s="23"/>
      <c r="O401" s="23"/>
      <c r="P401" s="23"/>
    </row>
    <row r="402" spans="1:18" customFormat="1" x14ac:dyDescent="0.2">
      <c r="N402" s="23"/>
      <c r="O402" s="23"/>
      <c r="P402" s="23"/>
    </row>
    <row r="403" spans="1:18" customFormat="1" x14ac:dyDescent="0.2">
      <c r="N403" s="23"/>
      <c r="O403" s="23"/>
      <c r="P403" s="23"/>
    </row>
    <row r="404" spans="1:18" customFormat="1" x14ac:dyDescent="0.2">
      <c r="N404" s="23"/>
      <c r="O404" s="23"/>
      <c r="P404" s="23"/>
    </row>
    <row r="405" spans="1:18" customFormat="1" x14ac:dyDescent="0.2">
      <c r="N405" s="23"/>
      <c r="O405" s="23"/>
      <c r="P405" s="23"/>
    </row>
    <row r="406" spans="1:18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Q406"/>
      <c r="R406"/>
    </row>
  </sheetData>
  <sheetProtection algorithmName="SHA-512" hashValue="AsxTYVDuiyXUbS0VTAQsbQRK5leOxIm+fJMP+XqhI1ZzRQyOYEBHS0O9aDEw5dCQRuRcPxntFOOJ5s6whUkpQQ==" saltValue="7P+744HRwt3DBtF9jBax0g==" spinCount="100000" sheet="1" objects="1" scenarios="1"/>
  <mergeCells count="573">
    <mergeCell ref="A1:J1"/>
    <mergeCell ref="K1:N1"/>
    <mergeCell ref="G333:H333"/>
    <mergeCell ref="I322:M322"/>
    <mergeCell ref="I323:M323"/>
    <mergeCell ref="I324:M324"/>
    <mergeCell ref="A323:D323"/>
    <mergeCell ref="A317:D317"/>
    <mergeCell ref="A320:D320"/>
    <mergeCell ref="I294:M294"/>
    <mergeCell ref="I295:M295"/>
    <mergeCell ref="I296:M296"/>
    <mergeCell ref="I297:M297"/>
    <mergeCell ref="I303:M303"/>
    <mergeCell ref="A302:D302"/>
    <mergeCell ref="I321:M321"/>
    <mergeCell ref="I319:M319"/>
    <mergeCell ref="I320:M320"/>
    <mergeCell ref="I304:M304"/>
    <mergeCell ref="A307:D307"/>
    <mergeCell ref="A303:D303"/>
    <mergeCell ref="I298:M298"/>
    <mergeCell ref="I305:M305"/>
    <mergeCell ref="I306:M306"/>
    <mergeCell ref="L364:M364"/>
    <mergeCell ref="L365:M365"/>
    <mergeCell ref="L357:M357"/>
    <mergeCell ref="E138:G138"/>
    <mergeCell ref="E172:G172"/>
    <mergeCell ref="E196:G196"/>
    <mergeCell ref="I265:M265"/>
    <mergeCell ref="I258:M258"/>
    <mergeCell ref="I272:M272"/>
    <mergeCell ref="I314:M314"/>
    <mergeCell ref="I315:M315"/>
    <mergeCell ref="I300:M300"/>
    <mergeCell ref="I301:M301"/>
    <mergeCell ref="I302:M302"/>
    <mergeCell ref="I311:M311"/>
    <mergeCell ref="I307:M307"/>
    <mergeCell ref="I312:M312"/>
    <mergeCell ref="I313:M313"/>
    <mergeCell ref="I310:M310"/>
    <mergeCell ref="L359:M359"/>
    <mergeCell ref="A359:H359"/>
    <mergeCell ref="A355:J355"/>
    <mergeCell ref="A335:D335"/>
    <mergeCell ref="A336:D336"/>
    <mergeCell ref="I379:J379"/>
    <mergeCell ref="I374:J374"/>
    <mergeCell ref="I376:J376"/>
    <mergeCell ref="I377:J377"/>
    <mergeCell ref="I378:J378"/>
    <mergeCell ref="L367:M367"/>
    <mergeCell ref="L368:M368"/>
    <mergeCell ref="L366:M366"/>
    <mergeCell ref="A366:J366"/>
    <mergeCell ref="A369:J369"/>
    <mergeCell ref="A367:H367"/>
    <mergeCell ref="A368:J368"/>
    <mergeCell ref="A374:H374"/>
    <mergeCell ref="A304:D304"/>
    <mergeCell ref="A263:D263"/>
    <mergeCell ref="I260:M260"/>
    <mergeCell ref="A259:D259"/>
    <mergeCell ref="I259:M259"/>
    <mergeCell ref="I267:M267"/>
    <mergeCell ref="I254:M254"/>
    <mergeCell ref="A256:D256"/>
    <mergeCell ref="I256:M256"/>
    <mergeCell ref="A280:D280"/>
    <mergeCell ref="I263:M263"/>
    <mergeCell ref="I264:M264"/>
    <mergeCell ref="I266:M266"/>
    <mergeCell ref="I268:M268"/>
    <mergeCell ref="I269:M269"/>
    <mergeCell ref="I270:M270"/>
    <mergeCell ref="I257:M257"/>
    <mergeCell ref="A257:D257"/>
    <mergeCell ref="I262:M262"/>
    <mergeCell ref="A264:D264"/>
    <mergeCell ref="A267:D267"/>
    <mergeCell ref="A268:D268"/>
    <mergeCell ref="I277:O277"/>
    <mergeCell ref="I280:M280"/>
    <mergeCell ref="A167:D167"/>
    <mergeCell ref="A193:D193"/>
    <mergeCell ref="A229:D229"/>
    <mergeCell ref="J197:K197"/>
    <mergeCell ref="K203:M203"/>
    <mergeCell ref="K204:M204"/>
    <mergeCell ref="K168:M168"/>
    <mergeCell ref="K169:M169"/>
    <mergeCell ref="K192:M192"/>
    <mergeCell ref="A210:D210"/>
    <mergeCell ref="A221:D221"/>
    <mergeCell ref="I224:M224"/>
    <mergeCell ref="I211:M211"/>
    <mergeCell ref="F197:F198"/>
    <mergeCell ref="A187:D187"/>
    <mergeCell ref="A186:D186"/>
    <mergeCell ref="A185:D185"/>
    <mergeCell ref="A183:D183"/>
    <mergeCell ref="A180:D180"/>
    <mergeCell ref="A179:D179"/>
    <mergeCell ref="A188:D188"/>
    <mergeCell ref="A228:D228"/>
    <mergeCell ref="A169:D169"/>
    <mergeCell ref="K193:M193"/>
    <mergeCell ref="B24:F24"/>
    <mergeCell ref="G13:P13"/>
    <mergeCell ref="I17:K17"/>
    <mergeCell ref="A273:D273"/>
    <mergeCell ref="A272:D272"/>
    <mergeCell ref="A265:D265"/>
    <mergeCell ref="A266:D266"/>
    <mergeCell ref="A270:D270"/>
    <mergeCell ref="I276:M276"/>
    <mergeCell ref="A276:D276"/>
    <mergeCell ref="I273:M273"/>
    <mergeCell ref="A102:D102"/>
    <mergeCell ref="I129:L129"/>
    <mergeCell ref="I132:L132"/>
    <mergeCell ref="I130:L130"/>
    <mergeCell ref="I131:L131"/>
    <mergeCell ref="I133:L133"/>
    <mergeCell ref="I271:M271"/>
    <mergeCell ref="A269:D269"/>
    <mergeCell ref="A260:D260"/>
    <mergeCell ref="A262:D262"/>
    <mergeCell ref="A161:D161"/>
    <mergeCell ref="A162:D162"/>
    <mergeCell ref="A156:D156"/>
    <mergeCell ref="G14:P14"/>
    <mergeCell ref="A7:F7"/>
    <mergeCell ref="A8:F8"/>
    <mergeCell ref="A9:F9"/>
    <mergeCell ref="A14:F14"/>
    <mergeCell ref="A46:J46"/>
    <mergeCell ref="B22:F22"/>
    <mergeCell ref="I89:L89"/>
    <mergeCell ref="H30:N30"/>
    <mergeCell ref="A10:F10"/>
    <mergeCell ref="I80:L80"/>
    <mergeCell ref="I81:L81"/>
    <mergeCell ref="I82:L82"/>
    <mergeCell ref="I76:L76"/>
    <mergeCell ref="I77:L77"/>
    <mergeCell ref="I78:L78"/>
    <mergeCell ref="I79:L79"/>
    <mergeCell ref="I86:L86"/>
    <mergeCell ref="M41:N41"/>
    <mergeCell ref="H25:N25"/>
    <mergeCell ref="H26:N26"/>
    <mergeCell ref="M39:N39"/>
    <mergeCell ref="K40:L40"/>
    <mergeCell ref="H21:N21"/>
    <mergeCell ref="O31:P31"/>
    <mergeCell ref="K38:L38"/>
    <mergeCell ref="O29:P29"/>
    <mergeCell ref="O27:P27"/>
    <mergeCell ref="A2:P2"/>
    <mergeCell ref="O21:P21"/>
    <mergeCell ref="N17:P17"/>
    <mergeCell ref="G16:P16"/>
    <mergeCell ref="G17:H17"/>
    <mergeCell ref="A15:F15"/>
    <mergeCell ref="G10:P10"/>
    <mergeCell ref="A16:F16"/>
    <mergeCell ref="A6:F6"/>
    <mergeCell ref="G12:P12"/>
    <mergeCell ref="L17:M17"/>
    <mergeCell ref="A11:F11"/>
    <mergeCell ref="A12:F12"/>
    <mergeCell ref="A13:F13"/>
    <mergeCell ref="G6:P6"/>
    <mergeCell ref="A17:F17"/>
    <mergeCell ref="G7:P7"/>
    <mergeCell ref="G8:P8"/>
    <mergeCell ref="G9:P9"/>
    <mergeCell ref="G11:P11"/>
    <mergeCell ref="H27:N27"/>
    <mergeCell ref="H31:N31"/>
    <mergeCell ref="H32:N32"/>
    <mergeCell ref="K37:L37"/>
    <mergeCell ref="M40:N40"/>
    <mergeCell ref="K39:L39"/>
    <mergeCell ref="H29:N29"/>
    <mergeCell ref="A39:J39"/>
    <mergeCell ref="M38:N38"/>
    <mergeCell ref="M44:N44"/>
    <mergeCell ref="A44:J44"/>
    <mergeCell ref="O44:P44"/>
    <mergeCell ref="A63:A64"/>
    <mergeCell ref="A42:J42"/>
    <mergeCell ref="A38:J38"/>
    <mergeCell ref="A47:J47"/>
    <mergeCell ref="I62:L62"/>
    <mergeCell ref="I63:L63"/>
    <mergeCell ref="I64:L64"/>
    <mergeCell ref="B63:G63"/>
    <mergeCell ref="A50:F50"/>
    <mergeCell ref="O39:P39"/>
    <mergeCell ref="O38:P38"/>
    <mergeCell ref="M42:N42"/>
    <mergeCell ref="O43:P43"/>
    <mergeCell ref="A43:J43"/>
    <mergeCell ref="M43:N43"/>
    <mergeCell ref="O41:P41"/>
    <mergeCell ref="O40:P40"/>
    <mergeCell ref="A41:J41"/>
    <mergeCell ref="K41:L41"/>
    <mergeCell ref="A40:J40"/>
    <mergeCell ref="O37:P37"/>
    <mergeCell ref="G15:P15"/>
    <mergeCell ref="B21:F21"/>
    <mergeCell ref="M37:N37"/>
    <mergeCell ref="H28:N28"/>
    <mergeCell ref="A37:J37"/>
    <mergeCell ref="B26:F26"/>
    <mergeCell ref="B25:F25"/>
    <mergeCell ref="K44:L44"/>
    <mergeCell ref="B23:F23"/>
    <mergeCell ref="O42:P42"/>
    <mergeCell ref="K43:L43"/>
    <mergeCell ref="K42:L42"/>
    <mergeCell ref="O28:P28"/>
    <mergeCell ref="O30:P30"/>
    <mergeCell ref="O32:P32"/>
    <mergeCell ref="O22:P22"/>
    <mergeCell ref="H22:N22"/>
    <mergeCell ref="O25:P25"/>
    <mergeCell ref="O26:P26"/>
    <mergeCell ref="H23:N23"/>
    <mergeCell ref="H24:N24"/>
    <mergeCell ref="O23:P23"/>
    <mergeCell ref="O24:P24"/>
    <mergeCell ref="I235:M235"/>
    <mergeCell ref="A211:D211"/>
    <mergeCell ref="A240:D240"/>
    <mergeCell ref="I246:M246"/>
    <mergeCell ref="A215:D215"/>
    <mergeCell ref="I215:M215"/>
    <mergeCell ref="I213:M213"/>
    <mergeCell ref="I217:N217"/>
    <mergeCell ref="I232:M232"/>
    <mergeCell ref="I245:M245"/>
    <mergeCell ref="I233:M233"/>
    <mergeCell ref="I234:M234"/>
    <mergeCell ref="A214:D214"/>
    <mergeCell ref="A234:D234"/>
    <mergeCell ref="A233:D233"/>
    <mergeCell ref="A236:D236"/>
    <mergeCell ref="A212:D212"/>
    <mergeCell ref="I214:M214"/>
    <mergeCell ref="I212:M212"/>
    <mergeCell ref="A217:D217"/>
    <mergeCell ref="I252:M252"/>
    <mergeCell ref="I230:M230"/>
    <mergeCell ref="I228:M228"/>
    <mergeCell ref="I225:M225"/>
    <mergeCell ref="I218:N218"/>
    <mergeCell ref="I219:N219"/>
    <mergeCell ref="I220:N220"/>
    <mergeCell ref="I221:N221"/>
    <mergeCell ref="A239:D239"/>
    <mergeCell ref="A237:D237"/>
    <mergeCell ref="A238:D238"/>
    <mergeCell ref="A235:D235"/>
    <mergeCell ref="A225:D225"/>
    <mergeCell ref="A226:D226"/>
    <mergeCell ref="A218:D218"/>
    <mergeCell ref="A246:D246"/>
    <mergeCell ref="A245:D245"/>
    <mergeCell ref="I229:M229"/>
    <mergeCell ref="I231:M231"/>
    <mergeCell ref="I227:M227"/>
    <mergeCell ref="A227:D227"/>
    <mergeCell ref="A247:D247"/>
    <mergeCell ref="A248:D248"/>
    <mergeCell ref="A249:D249"/>
    <mergeCell ref="I117:L117"/>
    <mergeCell ref="I118:L118"/>
    <mergeCell ref="I96:L96"/>
    <mergeCell ref="I94:L94"/>
    <mergeCell ref="I115:L115"/>
    <mergeCell ref="I103:L103"/>
    <mergeCell ref="I102:L102"/>
    <mergeCell ref="A125:D125"/>
    <mergeCell ref="A158:D158"/>
    <mergeCell ref="A150:D150"/>
    <mergeCell ref="H139:I139"/>
    <mergeCell ref="H138:M138"/>
    <mergeCell ref="L139:M139"/>
    <mergeCell ref="E139:E140"/>
    <mergeCell ref="F139:F140"/>
    <mergeCell ref="G139:G140"/>
    <mergeCell ref="I120:L120"/>
    <mergeCell ref="I119:L119"/>
    <mergeCell ref="I125:L125"/>
    <mergeCell ref="I126:L126"/>
    <mergeCell ref="I127:L127"/>
    <mergeCell ref="I128:L128"/>
    <mergeCell ref="J139:K139"/>
    <mergeCell ref="A147:D147"/>
    <mergeCell ref="L356:M356"/>
    <mergeCell ref="A363:J363"/>
    <mergeCell ref="A281:D281"/>
    <mergeCell ref="A300:D300"/>
    <mergeCell ref="A301:D301"/>
    <mergeCell ref="A291:D291"/>
    <mergeCell ref="I283:M283"/>
    <mergeCell ref="A290:D290"/>
    <mergeCell ref="A289:D289"/>
    <mergeCell ref="I293:M293"/>
    <mergeCell ref="I291:M291"/>
    <mergeCell ref="I292:M292"/>
    <mergeCell ref="I287:M287"/>
    <mergeCell ref="A294:D294"/>
    <mergeCell ref="I316:M316"/>
    <mergeCell ref="I308:M308"/>
    <mergeCell ref="I309:M309"/>
    <mergeCell ref="A288:D288"/>
    <mergeCell ref="L360:M360"/>
    <mergeCell ref="L358:M358"/>
    <mergeCell ref="J353:J354"/>
    <mergeCell ref="K333:L333"/>
    <mergeCell ref="M333:N333"/>
    <mergeCell ref="E333:F333"/>
    <mergeCell ref="L355:M355"/>
    <mergeCell ref="I382:J382"/>
    <mergeCell ref="I383:J383"/>
    <mergeCell ref="I380:J380"/>
    <mergeCell ref="I381:J381"/>
    <mergeCell ref="I384:J384"/>
    <mergeCell ref="I278:M278"/>
    <mergeCell ref="I279:M279"/>
    <mergeCell ref="I281:M281"/>
    <mergeCell ref="I288:M288"/>
    <mergeCell ref="I289:M289"/>
    <mergeCell ref="I299:M299"/>
    <mergeCell ref="I282:M282"/>
    <mergeCell ref="L363:M363"/>
    <mergeCell ref="I328:M328"/>
    <mergeCell ref="I329:M329"/>
    <mergeCell ref="I330:M330"/>
    <mergeCell ref="I326:M326"/>
    <mergeCell ref="I327:M327"/>
    <mergeCell ref="I325:M325"/>
    <mergeCell ref="L362:M362"/>
    <mergeCell ref="L361:M361"/>
    <mergeCell ref="I353:I354"/>
    <mergeCell ref="I290:M290"/>
    <mergeCell ref="L354:M354"/>
    <mergeCell ref="I121:L121"/>
    <mergeCell ref="I116:L116"/>
    <mergeCell ref="I114:L114"/>
    <mergeCell ref="I113:L113"/>
    <mergeCell ref="I104:L104"/>
    <mergeCell ref="I108:L108"/>
    <mergeCell ref="I110:L110"/>
    <mergeCell ref="I111:L111"/>
    <mergeCell ref="I112:L112"/>
    <mergeCell ref="I109:L109"/>
    <mergeCell ref="K353:M353"/>
    <mergeCell ref="I210:M210"/>
    <mergeCell ref="I226:M226"/>
    <mergeCell ref="I249:M249"/>
    <mergeCell ref="I253:M253"/>
    <mergeCell ref="I255:M255"/>
    <mergeCell ref="I247:M247"/>
    <mergeCell ref="I251:M251"/>
    <mergeCell ref="I248:M248"/>
    <mergeCell ref="I250:M250"/>
    <mergeCell ref="I333:J333"/>
    <mergeCell ref="I317:M317"/>
    <mergeCell ref="I318:M318"/>
    <mergeCell ref="I65:L65"/>
    <mergeCell ref="I66:L66"/>
    <mergeCell ref="I67:L67"/>
    <mergeCell ref="I68:L68"/>
    <mergeCell ref="I69:L69"/>
    <mergeCell ref="I70:L70"/>
    <mergeCell ref="I71:L71"/>
    <mergeCell ref="I100:L100"/>
    <mergeCell ref="I101:L101"/>
    <mergeCell ref="I97:L97"/>
    <mergeCell ref="I95:L95"/>
    <mergeCell ref="I98:L98"/>
    <mergeCell ref="I99:L99"/>
    <mergeCell ref="I83:L83"/>
    <mergeCell ref="I84:L84"/>
    <mergeCell ref="I85:L85"/>
    <mergeCell ref="I91:L91"/>
    <mergeCell ref="I93:L93"/>
    <mergeCell ref="I87:L87"/>
    <mergeCell ref="I88:L88"/>
    <mergeCell ref="I90:L90"/>
    <mergeCell ref="I92:L92"/>
    <mergeCell ref="N138:O138"/>
    <mergeCell ref="N139:N140"/>
    <mergeCell ref="O139:O140"/>
    <mergeCell ref="A184:O184"/>
    <mergeCell ref="A175:O175"/>
    <mergeCell ref="N172:O172"/>
    <mergeCell ref="N173:N174"/>
    <mergeCell ref="O173:O174"/>
    <mergeCell ref="H173:I173"/>
    <mergeCell ref="L173:M173"/>
    <mergeCell ref="H172:M172"/>
    <mergeCell ref="A166:D166"/>
    <mergeCell ref="A172:D174"/>
    <mergeCell ref="E173:E174"/>
    <mergeCell ref="F173:F174"/>
    <mergeCell ref="G173:G174"/>
    <mergeCell ref="J173:K173"/>
    <mergeCell ref="A181:D181"/>
    <mergeCell ref="A163:D163"/>
    <mergeCell ref="A164:D164"/>
    <mergeCell ref="A182:D182"/>
    <mergeCell ref="A153:D153"/>
    <mergeCell ref="A157:D157"/>
    <mergeCell ref="A146:D146"/>
    <mergeCell ref="H388:O400"/>
    <mergeCell ref="N196:O196"/>
    <mergeCell ref="N197:N198"/>
    <mergeCell ref="O197:O198"/>
    <mergeCell ref="A277:F277"/>
    <mergeCell ref="A356:J356"/>
    <mergeCell ref="A358:J358"/>
    <mergeCell ref="A360:J360"/>
    <mergeCell ref="L197:M197"/>
    <mergeCell ref="H196:M196"/>
    <mergeCell ref="H197:I197"/>
    <mergeCell ref="A204:D204"/>
    <mergeCell ref="A202:D202"/>
    <mergeCell ref="A203:D203"/>
    <mergeCell ref="A199:D199"/>
    <mergeCell ref="G197:G198"/>
    <mergeCell ref="A201:D201"/>
    <mergeCell ref="A196:D198"/>
    <mergeCell ref="A388:F400"/>
    <mergeCell ref="A322:D322"/>
    <mergeCell ref="A321:D321"/>
    <mergeCell ref="A319:D319"/>
    <mergeCell ref="E197:E198"/>
    <mergeCell ref="A384:H384"/>
    <mergeCell ref="A383:H383"/>
    <mergeCell ref="A382:H382"/>
    <mergeCell ref="A381:H381"/>
    <mergeCell ref="A380:H380"/>
    <mergeCell ref="A379:H379"/>
    <mergeCell ref="A378:H378"/>
    <mergeCell ref="A377:H377"/>
    <mergeCell ref="A376:H376"/>
    <mergeCell ref="A375:E375"/>
    <mergeCell ref="A365:H365"/>
    <mergeCell ref="A364:H364"/>
    <mergeCell ref="A362:H362"/>
    <mergeCell ref="A361:H361"/>
    <mergeCell ref="A353:H354"/>
    <mergeCell ref="A349:D349"/>
    <mergeCell ref="A348:D348"/>
    <mergeCell ref="A357:H357"/>
    <mergeCell ref="A347:D347"/>
    <mergeCell ref="A346:D346"/>
    <mergeCell ref="A345:D345"/>
    <mergeCell ref="A344:D344"/>
    <mergeCell ref="A343:D343"/>
    <mergeCell ref="A342:D342"/>
    <mergeCell ref="A341:D341"/>
    <mergeCell ref="A340:D340"/>
    <mergeCell ref="A339:D339"/>
    <mergeCell ref="A338:D338"/>
    <mergeCell ref="A337:D337"/>
    <mergeCell ref="A333:D334"/>
    <mergeCell ref="A318:D318"/>
    <mergeCell ref="A313:D313"/>
    <mergeCell ref="A312:D312"/>
    <mergeCell ref="A311:D311"/>
    <mergeCell ref="A310:D310"/>
    <mergeCell ref="A309:D309"/>
    <mergeCell ref="A308:D308"/>
    <mergeCell ref="A299:D299"/>
    <mergeCell ref="A298:D298"/>
    <mergeCell ref="A297:D297"/>
    <mergeCell ref="A296:D296"/>
    <mergeCell ref="A295:D295"/>
    <mergeCell ref="A287:D287"/>
    <mergeCell ref="A279:D279"/>
    <mergeCell ref="A278:D278"/>
    <mergeCell ref="A271:D271"/>
    <mergeCell ref="A258:D258"/>
    <mergeCell ref="A178:D178"/>
    <mergeCell ref="A177:D177"/>
    <mergeCell ref="A176:D176"/>
    <mergeCell ref="A154:D154"/>
    <mergeCell ref="A152:D152"/>
    <mergeCell ref="A151:D151"/>
    <mergeCell ref="A149:D149"/>
    <mergeCell ref="A148:D148"/>
    <mergeCell ref="A189:D189"/>
    <mergeCell ref="A192:D192"/>
    <mergeCell ref="A190:D190"/>
    <mergeCell ref="A191:D191"/>
    <mergeCell ref="A230:D230"/>
    <mergeCell ref="A231:D231"/>
    <mergeCell ref="A232:D232"/>
    <mergeCell ref="A216:D216"/>
    <mergeCell ref="A220:D220"/>
    <mergeCell ref="A213:D213"/>
    <mergeCell ref="A219:D219"/>
    <mergeCell ref="A224:D224"/>
    <mergeCell ref="A168:D168"/>
    <mergeCell ref="A165:D165"/>
    <mergeCell ref="A200:D200"/>
    <mergeCell ref="A132:D132"/>
    <mergeCell ref="A133:D133"/>
    <mergeCell ref="A120:D120"/>
    <mergeCell ref="A155:D155"/>
    <mergeCell ref="A159:D159"/>
    <mergeCell ref="A160:D160"/>
    <mergeCell ref="A145:D145"/>
    <mergeCell ref="A144:D144"/>
    <mergeCell ref="A143:D143"/>
    <mergeCell ref="A142:D142"/>
    <mergeCell ref="A141:D141"/>
    <mergeCell ref="A138:D140"/>
    <mergeCell ref="A110:D110"/>
    <mergeCell ref="A109:D109"/>
    <mergeCell ref="A111:D111"/>
    <mergeCell ref="A114:D114"/>
    <mergeCell ref="A115:D115"/>
    <mergeCell ref="A131:D131"/>
    <mergeCell ref="A127:D127"/>
    <mergeCell ref="A126:D126"/>
    <mergeCell ref="A128:D128"/>
    <mergeCell ref="A129:D129"/>
    <mergeCell ref="A130:D130"/>
    <mergeCell ref="A87:D87"/>
    <mergeCell ref="A57:F57"/>
    <mergeCell ref="A58:F58"/>
    <mergeCell ref="B51:F51"/>
    <mergeCell ref="B52:F52"/>
    <mergeCell ref="B53:F53"/>
    <mergeCell ref="B54:F54"/>
    <mergeCell ref="B55:F55"/>
    <mergeCell ref="B56:F56"/>
    <mergeCell ref="A59:F59"/>
    <mergeCell ref="A250:D250"/>
    <mergeCell ref="A251:D251"/>
    <mergeCell ref="A252:D252"/>
    <mergeCell ref="A253:D253"/>
    <mergeCell ref="A254:D254"/>
    <mergeCell ref="A255:D255"/>
    <mergeCell ref="A90:D90"/>
    <mergeCell ref="A89:D89"/>
    <mergeCell ref="A88:D88"/>
    <mergeCell ref="A108:D108"/>
    <mergeCell ref="A101:D101"/>
    <mergeCell ref="A100:D100"/>
    <mergeCell ref="A99:D99"/>
    <mergeCell ref="A98:D98"/>
    <mergeCell ref="A94:D94"/>
    <mergeCell ref="A93:D93"/>
    <mergeCell ref="A92:D92"/>
    <mergeCell ref="A91:D91"/>
    <mergeCell ref="A119:D119"/>
    <mergeCell ref="A118:D118"/>
    <mergeCell ref="A117:D117"/>
    <mergeCell ref="A116:D116"/>
    <mergeCell ref="A113:D113"/>
    <mergeCell ref="A112:D112"/>
  </mergeCells>
  <phoneticPr fontId="0" type="noConversion"/>
  <conditionalFormatting sqref="K382:K383">
    <cfRule type="cellIs" dxfId="1" priority="5" stopIfTrue="1" operator="lessThan">
      <formula>0</formula>
    </cfRule>
  </conditionalFormatting>
  <conditionalFormatting sqref="K384">
    <cfRule type="cellIs" dxfId="0" priority="6" stopIfTrue="1" operator="lessThan">
      <formula>0</formula>
    </cfRule>
  </conditionalFormatting>
  <pageMargins left="0.39370078740157483" right="0.19685039370078741" top="0.39370078740157483" bottom="0.19685039370078741" header="0.19685039370078741" footer="0"/>
  <pageSetup paperSize="9" scale="80" orientation="landscape" r:id="rId1"/>
  <headerFooter alignWithMargins="0"/>
  <rowBreaks count="8" manualBreakCount="8">
    <brk id="47" max="16383" man="1"/>
    <brk id="134" max="16383" man="1"/>
    <brk id="170" max="16383" man="1"/>
    <brk id="206" max="16383" man="1"/>
    <brk id="241" max="16383" man="1"/>
    <brk id="284" max="18" man="1"/>
    <brk id="331" max="18" man="1"/>
    <brk id="385" max="18" man="1"/>
  </rowBreaks>
  <drawing r:id="rId2"/>
  <legacyDrawing r:id="rId3"/>
  <controls>
    <mc:AlternateContent xmlns:mc="http://schemas.openxmlformats.org/markup-compatibility/2006">
      <mc:Choice Requires="x14">
        <control shapeId="4187" r:id="rId4" name="ComboBox1">
          <controlPr autoLine="0" linkedCell="O1" listFillRange="$Q$1:$R$8" r:id="rId5">
            <anchor moveWithCells="1">
              <from>
                <xdr:col>14</xdr:col>
                <xdr:colOff>0</xdr:colOff>
                <xdr:row>0</xdr:row>
                <xdr:rowOff>9525</xdr:rowOff>
              </from>
              <to>
                <xdr:col>16</xdr:col>
                <xdr:colOff>28575</xdr:colOff>
                <xdr:row>1</xdr:row>
                <xdr:rowOff>0</xdr:rowOff>
              </to>
            </anchor>
          </controlPr>
        </control>
      </mc:Choice>
      <mc:Fallback>
        <control shapeId="4187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Sucht 2025</vt:lpstr>
      <vt:lpstr>'Formular Sucht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strobl;Johannes Jost</dc:creator>
  <cp:lastModifiedBy>Johannes Jost</cp:lastModifiedBy>
  <cp:lastPrinted>2007-10-03T15:01:29Z</cp:lastPrinted>
  <dcterms:created xsi:type="dcterms:W3CDTF">2006-09-05T15:05:43Z</dcterms:created>
  <dcterms:modified xsi:type="dcterms:W3CDTF">2025-12-16T13:51:43Z</dcterms:modified>
</cp:coreProperties>
</file>